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St.2" sheetId="1" r:id="rId1"/>
    <sheet name="St2a" sheetId="2" r:id="rId2"/>
  </sheets>
  <definedNames>
    <definedName name="_xlnm.Print_Area" localSheetId="0">'St.2'!$A$1:$O$165</definedName>
    <definedName name="_xlnm.Print_Titles" localSheetId="0">'St.2'!$A:$B,'St.2'!$1:$3</definedName>
  </definedNames>
  <calcPr fullCalcOnLoad="1"/>
</workbook>
</file>

<file path=xl/sharedStrings.xml><?xml version="1.0" encoding="utf-8"?>
<sst xmlns="http://schemas.openxmlformats.org/spreadsheetml/2006/main" count="309" uniqueCount="273">
  <si>
    <t>HEADS</t>
  </si>
  <si>
    <t>Items</t>
  </si>
  <si>
    <t>ACTUALS</t>
  </si>
  <si>
    <t>R.E.</t>
  </si>
  <si>
    <t>B.E.</t>
  </si>
  <si>
    <t>ESTI-        MATES</t>
  </si>
  <si>
    <t>FORECAST</t>
  </si>
  <si>
    <t>2007-08</t>
  </si>
  <si>
    <t>2008-09</t>
  </si>
  <si>
    <t>2009-10</t>
  </si>
  <si>
    <t>2010-11</t>
  </si>
  <si>
    <t>2011-12</t>
  </si>
  <si>
    <t>2012-13</t>
  </si>
  <si>
    <t>2013-14</t>
  </si>
  <si>
    <t>2014-15</t>
  </si>
  <si>
    <t>I</t>
  </si>
  <si>
    <t>State's Own Revenues ( A1+B)</t>
  </si>
  <si>
    <t>A</t>
  </si>
  <si>
    <t>Total Tax Revenue (A1+A2)</t>
  </si>
  <si>
    <t>A1</t>
  </si>
  <si>
    <t>Own Tax Revenue</t>
  </si>
  <si>
    <t>0022</t>
  </si>
  <si>
    <t>Taxes on Agricultural Income</t>
  </si>
  <si>
    <t>0028*</t>
  </si>
  <si>
    <t>Other Taxes on Income  and Expenditure</t>
  </si>
  <si>
    <t>0029</t>
  </si>
  <si>
    <t>Rates and Cesses on Land</t>
  </si>
  <si>
    <t>Taxes on Plantations</t>
  </si>
  <si>
    <t>0030</t>
  </si>
  <si>
    <t>01+02</t>
  </si>
  <si>
    <t>03</t>
  </si>
  <si>
    <t>0035</t>
  </si>
  <si>
    <t>Taxes on Immovable Property other than Agricultural Land</t>
  </si>
  <si>
    <t>0039</t>
  </si>
  <si>
    <t>(101-103)</t>
  </si>
  <si>
    <t xml:space="preserve">State Excise on Foreign Liquor  </t>
  </si>
  <si>
    <t>0040</t>
  </si>
  <si>
    <t>Central Sales Tax</t>
  </si>
  <si>
    <t>Sales Tax on Motor Spirit &amp; Lubricants</t>
  </si>
  <si>
    <t>Surcharge on Sales Tax</t>
  </si>
  <si>
    <t>Tax on Sale of Crude Oil</t>
  </si>
  <si>
    <t>Receipts of Turnover Tax</t>
  </si>
  <si>
    <t>Trade Tax/VAT##</t>
  </si>
  <si>
    <t>Other Receipts</t>
  </si>
  <si>
    <t>0041</t>
  </si>
  <si>
    <t>0042</t>
  </si>
  <si>
    <t xml:space="preserve">Taxes on Goods and Passengers </t>
  </si>
  <si>
    <t>0043</t>
  </si>
  <si>
    <t>Taxes on Consumption &amp; Sale of Electricity</t>
  </si>
  <si>
    <t>0045*</t>
  </si>
  <si>
    <t>Betting Tax</t>
  </si>
  <si>
    <t>Luxury Tax</t>
  </si>
  <si>
    <t>A2</t>
  </si>
  <si>
    <t>Shared Tax Proceeds from Centre</t>
  </si>
  <si>
    <t>1601-01         101</t>
  </si>
  <si>
    <t>Share of Net Tax Proceeds Assigned to State</t>
  </si>
  <si>
    <t>B</t>
  </si>
  <si>
    <t>Non-Tax Revenues (a+b+c)</t>
  </si>
  <si>
    <t>Interest from Deptl./Comm. Undertakings</t>
  </si>
  <si>
    <t>Interest from PSUs and Other Undertakings</t>
  </si>
  <si>
    <t>0050</t>
  </si>
  <si>
    <t>Dividend from PSUs</t>
  </si>
  <si>
    <t>Profits from Departmental Undertakings**</t>
  </si>
  <si>
    <t>(c)</t>
  </si>
  <si>
    <t>Other Non-Tax  Revenues (i+ii+iii)</t>
  </si>
  <si>
    <t xml:space="preserve">         ** Contribution from departmental undertakings if these receipts are not included routinely under a non-tax receipts budget head.</t>
  </si>
  <si>
    <t>(i)</t>
  </si>
  <si>
    <t>General Services</t>
  </si>
  <si>
    <t>0051</t>
  </si>
  <si>
    <t>0055</t>
  </si>
  <si>
    <t>0056</t>
  </si>
  <si>
    <t>0057</t>
  </si>
  <si>
    <t xml:space="preserve">Supplies and Disposals </t>
  </si>
  <si>
    <t>0058</t>
  </si>
  <si>
    <t>0059</t>
  </si>
  <si>
    <t>0070</t>
  </si>
  <si>
    <t>01</t>
  </si>
  <si>
    <t>Admn. of Justice</t>
  </si>
  <si>
    <t>02</t>
  </si>
  <si>
    <t>Elections</t>
  </si>
  <si>
    <t>0071</t>
  </si>
  <si>
    <t>Contribution of employees under new pension</t>
  </si>
  <si>
    <t>0075</t>
  </si>
  <si>
    <t>State Lotteries (Gross)</t>
  </si>
  <si>
    <t>Sale of Land and Property</t>
  </si>
  <si>
    <t>Guarantee Fees</t>
  </si>
  <si>
    <t>(ii)</t>
  </si>
  <si>
    <t>Social Services</t>
  </si>
  <si>
    <t>0202</t>
  </si>
  <si>
    <t>General Education</t>
  </si>
  <si>
    <t>Elementary Education</t>
  </si>
  <si>
    <t>Secondary Education</t>
  </si>
  <si>
    <t>Technical Education</t>
  </si>
  <si>
    <t>04</t>
  </si>
  <si>
    <t>Art and Culture</t>
  </si>
  <si>
    <t>0210</t>
  </si>
  <si>
    <t>Urban Health Services</t>
  </si>
  <si>
    <t>Rural Health Services</t>
  </si>
  <si>
    <t xml:space="preserve">Medical Education, Training and Research </t>
  </si>
  <si>
    <t>Public Health</t>
  </si>
  <si>
    <t>0211</t>
  </si>
  <si>
    <t>Family Welfare</t>
  </si>
  <si>
    <t>0215</t>
  </si>
  <si>
    <t xml:space="preserve">Water Supply </t>
  </si>
  <si>
    <t>Sewerage &amp; Sanitation</t>
  </si>
  <si>
    <t>0216</t>
  </si>
  <si>
    <t>0217</t>
  </si>
  <si>
    <t>0220</t>
  </si>
  <si>
    <t>0230</t>
  </si>
  <si>
    <t>0235</t>
  </si>
  <si>
    <t>(iii)</t>
  </si>
  <si>
    <t xml:space="preserve">Economic Services </t>
  </si>
  <si>
    <t>0401</t>
  </si>
  <si>
    <t>0403</t>
  </si>
  <si>
    <t>0404</t>
  </si>
  <si>
    <t xml:space="preserve">Milk Supply Schemes </t>
  </si>
  <si>
    <t>0405</t>
  </si>
  <si>
    <t>0406</t>
  </si>
  <si>
    <t>0407</t>
  </si>
  <si>
    <t>0408</t>
  </si>
  <si>
    <t>0415</t>
  </si>
  <si>
    <t>Agriculture Research &amp; Education</t>
  </si>
  <si>
    <t>0425</t>
  </si>
  <si>
    <t>0435</t>
  </si>
  <si>
    <t>Other Agricultural Programmes</t>
  </si>
  <si>
    <t>0506</t>
  </si>
  <si>
    <t>Land Reforms</t>
  </si>
  <si>
    <t>0515</t>
  </si>
  <si>
    <t>0551</t>
  </si>
  <si>
    <t xml:space="preserve">Hill Areas </t>
  </si>
  <si>
    <t>0552</t>
  </si>
  <si>
    <t>North Eastern Areas Programmes</t>
  </si>
  <si>
    <t>0575</t>
  </si>
  <si>
    <t>Other Special Area Programmes</t>
  </si>
  <si>
    <t>Commercial</t>
  </si>
  <si>
    <t>Non-Commercial</t>
  </si>
  <si>
    <t>0702</t>
  </si>
  <si>
    <t>Surface Water</t>
  </si>
  <si>
    <t>Ground Water</t>
  </si>
  <si>
    <t>Command Area Development</t>
  </si>
  <si>
    <t>Flood Control</t>
  </si>
  <si>
    <t>0801</t>
  </si>
  <si>
    <t>0802</t>
  </si>
  <si>
    <t>Petroleum</t>
  </si>
  <si>
    <t>0803</t>
  </si>
  <si>
    <t>Coal and Lignite</t>
  </si>
  <si>
    <t>0810</t>
  </si>
  <si>
    <t>Non Conventional Sources  of Energy</t>
  </si>
  <si>
    <t>0851</t>
  </si>
  <si>
    <t>0852</t>
  </si>
  <si>
    <t>0853</t>
  </si>
  <si>
    <t xml:space="preserve">Royalty, etc. </t>
  </si>
  <si>
    <t>0875</t>
  </si>
  <si>
    <t>Other Industries</t>
  </si>
  <si>
    <t>Ports and Light Houses</t>
  </si>
  <si>
    <t xml:space="preserve">Shipping </t>
  </si>
  <si>
    <t xml:space="preserve">Civil Aviation </t>
  </si>
  <si>
    <t xml:space="preserve">Toll on Roads </t>
  </si>
  <si>
    <t>Inland Water Transport</t>
  </si>
  <si>
    <t xml:space="preserve">Other Transport Services </t>
  </si>
  <si>
    <t>Other Scientific Research</t>
  </si>
  <si>
    <t>Export Trade/Promotion</t>
  </si>
  <si>
    <t>Civil Supplies</t>
  </si>
  <si>
    <t>C</t>
  </si>
  <si>
    <t>Grants from Centre</t>
  </si>
  <si>
    <t>1601-01</t>
  </si>
  <si>
    <t>Non Plan Grants</t>
  </si>
  <si>
    <t>Grant under Article 275 (1) of the Constitution</t>
  </si>
  <si>
    <t>Grants from Central Road Fund</t>
  </si>
  <si>
    <t>Relief and Rehabilitation of Displaced Persons and Repatriates</t>
  </si>
  <si>
    <t xml:space="preserve">Calamity Relief Fund </t>
  </si>
  <si>
    <t xml:space="preserve">Plan Grants </t>
  </si>
  <si>
    <t xml:space="preserve">State Plan Schemes </t>
  </si>
  <si>
    <t>Central Plan Schemes.</t>
  </si>
  <si>
    <t>Centrally Sponsored Schemes</t>
  </si>
  <si>
    <t>05</t>
  </si>
  <si>
    <t xml:space="preserve"> NEC Schemes or Spl. Plan Schemes </t>
  </si>
  <si>
    <t>TOTAL REVENUE RECEIPTS (A+B+C)</t>
  </si>
  <si>
    <t>*  (excluding share in Central Taxes)</t>
  </si>
  <si>
    <t>EXPLANATORY NOTES - REVENUE RECEIPTS (STATEMENT 2)</t>
  </si>
  <si>
    <t>3. The projections for the forecast period should not be based on just past rates of growth but also take into account special efforts for  better realisation, efficiency and scope for better fiscal management.</t>
  </si>
  <si>
    <t>2015-16</t>
  </si>
  <si>
    <t>2016-17</t>
  </si>
  <si>
    <t>2017-18</t>
  </si>
  <si>
    <t>2018-19</t>
  </si>
  <si>
    <t>2019-20</t>
  </si>
  <si>
    <t xml:space="preserve">1. The ARM for 2014-15 should be based on such considerations as the Twelfth Plan target, actual performance so far and the overall need for resources. In case it is difficult to furnish itemwise details of these ARM measures at this stage, total figures say be indicated under item I at the begining of this statement (total of own tax and own non-tax revenues) .                   </t>
  </si>
  <si>
    <t xml:space="preserve">2. The basis of the B.E. for 2013-14, and estimates for 2014-15 may please be indicated. Please also indicate the rate of growth assumed, realisation of arrears etc. </t>
  </si>
  <si>
    <t>4. Interest receipts, dividends, etc. may be based on lendings and investment upto 2013-14.</t>
  </si>
  <si>
    <t>0701</t>
  </si>
  <si>
    <t>0700</t>
  </si>
  <si>
    <t>Corporation Tax</t>
  </si>
  <si>
    <t>Taxes on Income other than Corporation Tax</t>
  </si>
  <si>
    <t>Taxes on Wealth</t>
  </si>
  <si>
    <t>Customs</t>
  </si>
  <si>
    <t>Service Tax</t>
  </si>
  <si>
    <t>Others</t>
  </si>
  <si>
    <t>Total</t>
  </si>
  <si>
    <t>Hotel Receipt Tax</t>
  </si>
  <si>
    <t>Land Revenue</t>
  </si>
  <si>
    <t>Estate Duty</t>
  </si>
  <si>
    <t>Union Excise</t>
  </si>
  <si>
    <t>Other Taxes &amp; Duties on Comodities &amp; Services</t>
  </si>
  <si>
    <t>0250</t>
  </si>
  <si>
    <t>total revenue</t>
  </si>
  <si>
    <t>ITEMS</t>
  </si>
  <si>
    <t>Total  Tax</t>
  </si>
  <si>
    <t>Land Revenue/Tax #</t>
  </si>
  <si>
    <t>%</t>
  </si>
  <si>
    <t>Rate of growth applied under various heads are as under :-</t>
  </si>
  <si>
    <t>$  Forzen at 2013-14 level</t>
  </si>
  <si>
    <t xml:space="preserve">#   CGR of GSDP that has been applied is  </t>
  </si>
  <si>
    <t xml:space="preserve">Fiscal  Services. </t>
  </si>
  <si>
    <t>Public Service Commission $</t>
  </si>
  <si>
    <t>Police $</t>
  </si>
  <si>
    <t>Public Works @</t>
  </si>
  <si>
    <t>Information and Publicity $</t>
  </si>
  <si>
    <t>Social Security and Welfare $</t>
  </si>
  <si>
    <t>Other Social Services #</t>
  </si>
  <si>
    <t>Crop Husbandry $</t>
  </si>
  <si>
    <t xml:space="preserve"> Animal Husbandry #</t>
  </si>
  <si>
    <t>Food, Storage and Warehousing $</t>
  </si>
  <si>
    <t>Cooperation $</t>
  </si>
  <si>
    <t>Other Rural Development $</t>
  </si>
  <si>
    <t>Industries $</t>
  </si>
  <si>
    <t xml:space="preserve"> Village &amp; Small  Industries $</t>
  </si>
  <si>
    <t>Tourism @</t>
  </si>
  <si>
    <t>Information not given</t>
  </si>
  <si>
    <t>@    between 2007-08 to 2013-14 has been applied</t>
  </si>
  <si>
    <t>Note  * (excluding Share in Central taxes)</t>
  </si>
  <si>
    <r>
      <t xml:space="preserve">Land Revenue </t>
    </r>
    <r>
      <rPr>
        <i/>
        <sz val="11"/>
        <rFont val="Arial"/>
        <family val="2"/>
      </rPr>
      <t xml:space="preserve"> of which #</t>
    </r>
  </si>
  <si>
    <r>
      <t xml:space="preserve">State Excise </t>
    </r>
    <r>
      <rPr>
        <i/>
        <sz val="11"/>
        <rFont val="Arial"/>
        <family val="2"/>
      </rPr>
      <t>of which</t>
    </r>
  </si>
  <si>
    <r>
      <t xml:space="preserve"> Tax on Sales, Trade etc. </t>
    </r>
    <r>
      <rPr>
        <i/>
        <sz val="11"/>
        <rFont val="Arial"/>
        <family val="2"/>
      </rPr>
      <t>of which</t>
    </r>
  </si>
  <si>
    <r>
      <t xml:space="preserve">Note   </t>
    </r>
    <r>
      <rPr>
        <sz val="11"/>
        <rFont val="Arial"/>
        <family val="2"/>
      </rPr>
      <t>* (excluding Share in Central taxes);  # # VAT imposed by States should be shown under this minor head</t>
    </r>
  </si>
  <si>
    <r>
      <t xml:space="preserve">Taxes &amp; Duties on Electricity </t>
    </r>
    <r>
      <rPr>
        <i/>
        <sz val="11"/>
        <rFont val="Arial"/>
        <family val="2"/>
      </rPr>
      <t>of which</t>
    </r>
  </si>
  <si>
    <r>
      <t xml:space="preserve">Other Taxes and Duties on Commodities and Services @ </t>
    </r>
    <r>
      <rPr>
        <i/>
        <sz val="11"/>
        <rFont val="Arial"/>
        <family val="2"/>
      </rPr>
      <t>of which</t>
    </r>
  </si>
  <si>
    <r>
      <t xml:space="preserve">(a) </t>
    </r>
    <r>
      <rPr>
        <sz val="11"/>
        <rFont val="Arial"/>
        <family val="2"/>
      </rPr>
      <t xml:space="preserve">0047     </t>
    </r>
  </si>
  <si>
    <r>
      <t xml:space="preserve">(b) </t>
    </r>
    <r>
      <rPr>
        <sz val="11"/>
        <rFont val="Arial"/>
        <family val="2"/>
      </rPr>
      <t xml:space="preserve">0049     </t>
    </r>
  </si>
  <si>
    <r>
      <t xml:space="preserve">Interest Receipts  $ </t>
    </r>
    <r>
      <rPr>
        <i/>
        <sz val="11"/>
        <rFont val="Arial"/>
        <family val="2"/>
      </rPr>
      <t>of which</t>
    </r>
  </si>
  <si>
    <r>
      <t xml:space="preserve">Dividends and Profits  $ </t>
    </r>
    <r>
      <rPr>
        <i/>
        <sz val="11"/>
        <rFont val="Arial"/>
        <family val="2"/>
      </rPr>
      <t>of which</t>
    </r>
  </si>
  <si>
    <r>
      <t xml:space="preserve">Other Administrative Services  </t>
    </r>
    <r>
      <rPr>
        <i/>
        <sz val="11"/>
        <rFont val="Arial"/>
        <family val="2"/>
      </rPr>
      <t>of which @</t>
    </r>
  </si>
  <si>
    <r>
      <t xml:space="preserve"> Medical &amp; Public Health   @ </t>
    </r>
    <r>
      <rPr>
        <i/>
        <sz val="11"/>
        <rFont val="Arial"/>
        <family val="2"/>
      </rPr>
      <t>of which</t>
    </r>
  </si>
  <si>
    <r>
      <t xml:space="preserve">Water Supply &amp; Sanitation @ </t>
    </r>
    <r>
      <rPr>
        <i/>
        <sz val="11"/>
        <rFont val="Arial"/>
        <family val="2"/>
      </rPr>
      <t>of which:-</t>
    </r>
  </si>
  <si>
    <r>
      <t xml:space="preserve">Dairy Development </t>
    </r>
    <r>
      <rPr>
        <i/>
        <sz val="11"/>
        <rFont val="Arial"/>
        <family val="2"/>
      </rPr>
      <t>of which</t>
    </r>
  </si>
  <si>
    <r>
      <t xml:space="preserve">Forestry and Wild Life  @ </t>
    </r>
    <r>
      <rPr>
        <i/>
        <sz val="11"/>
        <rFont val="Arial"/>
        <family val="2"/>
      </rPr>
      <t>of which</t>
    </r>
  </si>
  <si>
    <r>
      <t xml:space="preserve">Major Irrigation </t>
    </r>
    <r>
      <rPr>
        <i/>
        <sz val="11"/>
        <rFont val="Arial"/>
        <family val="2"/>
      </rPr>
      <t>of which</t>
    </r>
  </si>
  <si>
    <r>
      <t xml:space="preserve">Medium Irrigation </t>
    </r>
    <r>
      <rPr>
        <i/>
        <sz val="11"/>
        <rFont val="Arial"/>
        <family val="2"/>
      </rPr>
      <t>of which</t>
    </r>
  </si>
  <si>
    <r>
      <t xml:space="preserve"> Minor Irrigation </t>
    </r>
    <r>
      <rPr>
        <i/>
        <sz val="11"/>
        <rFont val="Arial"/>
        <family val="2"/>
      </rPr>
      <t>of  $ which</t>
    </r>
  </si>
  <si>
    <r>
      <t xml:space="preserve">Metallurgical Industries  $ </t>
    </r>
    <r>
      <rPr>
        <i/>
        <sz val="11"/>
        <rFont val="Arial"/>
        <family val="2"/>
      </rPr>
      <t>of which</t>
    </r>
  </si>
  <si>
    <r>
      <t xml:space="preserve">Roads &amp; Bridges </t>
    </r>
    <r>
      <rPr>
        <i/>
        <sz val="11"/>
        <rFont val="Arial"/>
        <family val="2"/>
      </rPr>
      <t>of which</t>
    </r>
  </si>
  <si>
    <t>Other Taxes on Income  and Expenditure#</t>
  </si>
  <si>
    <r>
      <t xml:space="preserve">Stamps &amp; Registration Fees $ </t>
    </r>
    <r>
      <rPr>
        <i/>
        <sz val="11"/>
        <rFont val="Arial"/>
        <family val="2"/>
      </rPr>
      <t>of which</t>
    </r>
  </si>
  <si>
    <t>Stamps (Judicial + Non-Judicial ) $</t>
  </si>
  <si>
    <t xml:space="preserve"> Registration fees $</t>
  </si>
  <si>
    <t xml:space="preserve">State Excise on Country Liquor </t>
  </si>
  <si>
    <t xml:space="preserve">State Sales Tax </t>
  </si>
  <si>
    <t>Taxes on Vehicles#</t>
  </si>
  <si>
    <t>Entertainment Tax @</t>
  </si>
  <si>
    <t>Jails $</t>
  </si>
  <si>
    <t>Stationery &amp; Printing  $</t>
  </si>
  <si>
    <r>
      <t xml:space="preserve">Misc. General Services </t>
    </r>
    <r>
      <rPr>
        <i/>
        <sz val="11"/>
        <rFont val="Arial"/>
        <family val="2"/>
      </rPr>
      <t>of which</t>
    </r>
  </si>
  <si>
    <t>Contributions and Recoveries towards Pension and other Retirement Benefits ,of which</t>
  </si>
  <si>
    <r>
      <t>Education, Sports, Art and Culture $ of</t>
    </r>
    <r>
      <rPr>
        <i/>
        <sz val="11"/>
        <rFont val="Arial"/>
        <family val="2"/>
      </rPr>
      <t xml:space="preserve"> which </t>
    </r>
  </si>
  <si>
    <t>Sports and Youth Services @</t>
  </si>
  <si>
    <t>Housing @</t>
  </si>
  <si>
    <t>Urban Development $</t>
  </si>
  <si>
    <t>Labour &amp; Employment $</t>
  </si>
  <si>
    <t>Fisheries $</t>
  </si>
  <si>
    <t xml:space="preserve">Sale of Timber and  other Forest Produce  </t>
  </si>
  <si>
    <t>Plantations @</t>
  </si>
  <si>
    <t>Power</t>
  </si>
  <si>
    <t>Road Transport $</t>
  </si>
  <si>
    <t>Other General Economic Services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</si>
</sst>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Rs.&quot;\ #,##0_);\(&quot;Rs.&quot;\ #,##0\)"/>
    <numFmt numFmtId="187" formatCode="&quot;Rs.&quot;\ #,##0_);[Red]\(&quot;Rs.&quot;\ #,##0\)"/>
    <numFmt numFmtId="188" formatCode="&quot;Rs.&quot;\ #,##0.00_);\(&quot;Rs.&quot;\ #,##0.00\)"/>
    <numFmt numFmtId="189" formatCode="&quot;Rs.&quot;\ #,##0.00_);[Red]\(&quot;Rs.&quot;\ #,##0.00\)"/>
    <numFmt numFmtId="190" formatCode="_(&quot;Rs.&quot;\ * #,##0_);_(&quot;Rs.&quot;\ * \(#,##0\);_(&quot;Rs.&quot;\ * &quot;-&quot;_);_(@_)"/>
    <numFmt numFmtId="191" formatCode="_(&quot;Rs.&quot;\ * #,##0.00_);_(&quot;Rs.&quot;\ * \(#,##0.00\);_(&quot;Rs.&quot;\ * &quot;-&quot;??_);_(@_)"/>
    <numFmt numFmtId="192" formatCode="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
    <numFmt numFmtId="201" formatCode="[$-409]dddd\,\ mmmm\ dd\,\ yyyy"/>
    <numFmt numFmtId="202" formatCode="[$-409]h:mm:ss\ AM/PM"/>
    <numFmt numFmtId="203" formatCode="00##"/>
    <numFmt numFmtId="204" formatCode="0.00000"/>
    <numFmt numFmtId="205" formatCode="0.00_);\(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Geneva"/>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b/>
      <sz val="12"/>
      <name val="Arial"/>
      <family val="2"/>
    </font>
    <font>
      <b/>
      <sz val="11"/>
      <name val="Arial"/>
      <family val="2"/>
    </font>
    <font>
      <sz val="11"/>
      <name val="Arial"/>
      <family val="2"/>
    </font>
    <font>
      <i/>
      <sz val="11"/>
      <name val="Arial"/>
      <family val="2"/>
    </font>
    <font>
      <sz val="12"/>
      <color indexed="13"/>
      <name val="Arial"/>
      <family val="2"/>
    </font>
    <font>
      <sz val="12"/>
      <color indexed="10"/>
      <name val="Arial"/>
      <family val="2"/>
    </font>
    <font>
      <b/>
      <sz val="12"/>
      <color indexed="10"/>
      <name val="Arial"/>
      <family val="2"/>
    </font>
    <font>
      <sz val="12"/>
      <color rgb="FF92D050"/>
      <name val="Arial"/>
      <family val="2"/>
    </font>
    <font>
      <sz val="12"/>
      <color theme="5"/>
      <name val="Arial"/>
      <family val="2"/>
    </font>
    <font>
      <b/>
      <sz val="12"/>
      <color theme="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0">
    <xf numFmtId="0" fontId="0" fillId="0" borderId="0" xfId="0" applyAlignment="1">
      <alignment/>
    </xf>
    <xf numFmtId="0" fontId="22" fillId="0" borderId="0" xfId="0" applyFont="1" applyAlignment="1">
      <alignment/>
    </xf>
    <xf numFmtId="0" fontId="23" fillId="0" borderId="10" xfId="57" applyFont="1" applyBorder="1" applyAlignment="1">
      <alignment horizontal="left"/>
      <protection/>
    </xf>
    <xf numFmtId="0" fontId="23" fillId="0" borderId="10" xfId="57" applyFont="1" applyBorder="1" applyAlignment="1">
      <alignment horizontal="center"/>
      <protection/>
    </xf>
    <xf numFmtId="0" fontId="23" fillId="0" borderId="10" xfId="57" applyFont="1" applyBorder="1" applyAlignment="1">
      <alignment horizontal="center" vertical="top"/>
      <protection/>
    </xf>
    <xf numFmtId="0" fontId="23" fillId="0" borderId="10" xfId="57" applyFont="1" applyBorder="1" applyAlignment="1">
      <alignment horizontal="center" vertical="top" wrapText="1"/>
      <protection/>
    </xf>
    <xf numFmtId="0" fontId="22" fillId="0" borderId="10" xfId="57" applyFont="1" applyBorder="1" applyAlignment="1">
      <alignment horizontal="left"/>
      <protection/>
    </xf>
    <xf numFmtId="0" fontId="22" fillId="0" borderId="10" xfId="57" applyFont="1" applyBorder="1" applyAlignment="1">
      <alignment horizontal="center"/>
      <protection/>
    </xf>
    <xf numFmtId="0" fontId="23" fillId="0" borderId="0" xfId="57" applyFont="1" applyBorder="1" applyAlignment="1">
      <alignment horizontal="center" vertical="center"/>
      <protection/>
    </xf>
    <xf numFmtId="0" fontId="23" fillId="0" borderId="0" xfId="57" applyFont="1" applyBorder="1" applyAlignment="1">
      <alignment horizontal="left" vertical="center" wrapText="1"/>
      <protection/>
    </xf>
    <xf numFmtId="203" fontId="22" fillId="0" borderId="0" xfId="0" applyNumberFormat="1"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2" fontId="22" fillId="0" borderId="0" xfId="0" applyNumberFormat="1" applyFont="1" applyAlignment="1">
      <alignment/>
    </xf>
    <xf numFmtId="2" fontId="22" fillId="0" borderId="0" xfId="0" applyNumberFormat="1" applyFont="1" applyAlignment="1">
      <alignment vertical="center"/>
    </xf>
    <xf numFmtId="2" fontId="23" fillId="0" borderId="0" xfId="0" applyNumberFormat="1" applyFont="1" applyAlignment="1">
      <alignment vertical="center"/>
    </xf>
    <xf numFmtId="0" fontId="30" fillId="0" borderId="0" xfId="0" applyFont="1" applyAlignment="1">
      <alignment/>
    </xf>
    <xf numFmtId="2" fontId="30" fillId="0" borderId="0" xfId="0" applyNumberFormat="1" applyFont="1" applyAlignment="1">
      <alignment/>
    </xf>
    <xf numFmtId="0" fontId="31" fillId="0" borderId="0" xfId="0" applyFont="1" applyAlignment="1">
      <alignment/>
    </xf>
    <xf numFmtId="2" fontId="32" fillId="0" borderId="0" xfId="0" applyNumberFormat="1" applyFont="1" applyAlignment="1">
      <alignment/>
    </xf>
    <xf numFmtId="2" fontId="31" fillId="0" borderId="0" xfId="0" applyNumberFormat="1" applyFont="1" applyAlignment="1">
      <alignment/>
    </xf>
    <xf numFmtId="2" fontId="25" fillId="24" borderId="10" xfId="0" applyNumberFormat="1" applyFont="1" applyFill="1" applyBorder="1" applyAlignment="1">
      <alignment horizontal="right" vertical="center"/>
    </xf>
    <xf numFmtId="2" fontId="25" fillId="24" borderId="10" xfId="57" applyNumberFormat="1" applyFont="1" applyFill="1" applyBorder="1" applyAlignment="1">
      <alignment horizontal="right" vertical="center"/>
      <protection/>
    </xf>
    <xf numFmtId="2" fontId="24" fillId="24" borderId="10" xfId="57" applyNumberFormat="1" applyFont="1" applyFill="1" applyBorder="1" applyAlignment="1">
      <alignment horizontal="center" vertical="center"/>
      <protection/>
    </xf>
    <xf numFmtId="2" fontId="24" fillId="24" borderId="10" xfId="57" applyNumberFormat="1" applyFont="1" applyFill="1" applyBorder="1" applyAlignment="1">
      <alignment horizontal="center" vertical="center" wrapText="1"/>
      <protection/>
    </xf>
    <xf numFmtId="204" fontId="24" fillId="24" borderId="0" xfId="57" applyNumberFormat="1" applyFont="1" applyFill="1" applyAlignment="1">
      <alignment vertical="center"/>
      <protection/>
    </xf>
    <xf numFmtId="2" fontId="24" fillId="24" borderId="0" xfId="57" applyNumberFormat="1" applyFont="1" applyFill="1" applyAlignment="1">
      <alignment vertical="center"/>
      <protection/>
    </xf>
    <xf numFmtId="0" fontId="24" fillId="24" borderId="10" xfId="57" applyNumberFormat="1" applyFont="1" applyFill="1" applyBorder="1" applyAlignment="1">
      <alignment horizontal="center" vertical="center"/>
      <protection/>
    </xf>
    <xf numFmtId="0" fontId="24" fillId="24" borderId="10" xfId="57" applyNumberFormat="1" applyFont="1" applyFill="1" applyBorder="1" applyAlignment="1">
      <alignment horizontal="center" vertical="center" wrapText="1"/>
      <protection/>
    </xf>
    <xf numFmtId="204" fontId="25" fillId="24" borderId="0" xfId="57" applyNumberFormat="1" applyFont="1" applyFill="1" applyAlignment="1">
      <alignment horizontal="center" vertical="center"/>
      <protection/>
    </xf>
    <xf numFmtId="0" fontId="25" fillId="24" borderId="0" xfId="57" applyNumberFormat="1" applyFont="1" applyFill="1" applyAlignment="1">
      <alignment horizontal="center" vertical="center"/>
      <protection/>
    </xf>
    <xf numFmtId="2" fontId="24" fillId="24" borderId="10" xfId="57" applyNumberFormat="1" applyFont="1" applyFill="1" applyBorder="1" applyAlignment="1">
      <alignment horizontal="right" vertical="center"/>
      <protection/>
    </xf>
    <xf numFmtId="2" fontId="24" fillId="24" borderId="10" xfId="57" applyNumberFormat="1" applyFont="1" applyFill="1" applyBorder="1" applyAlignment="1">
      <alignment horizontal="left" vertical="center" wrapText="1"/>
      <protection/>
    </xf>
    <xf numFmtId="2" fontId="25" fillId="24" borderId="10" xfId="57" applyNumberFormat="1" applyFont="1" applyFill="1" applyBorder="1" applyAlignment="1" quotePrefix="1">
      <alignment horizontal="right" vertical="center"/>
      <protection/>
    </xf>
    <xf numFmtId="2" fontId="25" fillId="24" borderId="10" xfId="57" applyNumberFormat="1" applyFont="1" applyFill="1" applyBorder="1" applyAlignment="1">
      <alignment horizontal="left" vertical="center" wrapText="1"/>
      <protection/>
    </xf>
    <xf numFmtId="43" fontId="25" fillId="24" borderId="10" xfId="42" applyFont="1" applyFill="1" applyBorder="1" applyAlignment="1">
      <alignment horizontal="right" vertical="center"/>
    </xf>
    <xf numFmtId="204" fontId="25" fillId="24" borderId="0" xfId="57" applyNumberFormat="1" applyFont="1" applyFill="1" applyAlignment="1">
      <alignment vertical="center"/>
      <protection/>
    </xf>
    <xf numFmtId="2" fontId="25" fillId="24" borderId="0" xfId="57" applyNumberFormat="1" applyFont="1" applyFill="1" applyAlignment="1">
      <alignment vertical="center"/>
      <protection/>
    </xf>
    <xf numFmtId="2" fontId="25" fillId="24" borderId="10" xfId="57" applyNumberFormat="1" applyFont="1" applyFill="1" applyBorder="1" applyAlignment="1">
      <alignment vertical="center"/>
      <protection/>
    </xf>
    <xf numFmtId="43" fontId="25" fillId="24" borderId="10" xfId="42" applyFont="1" applyFill="1" applyBorder="1" applyAlignment="1">
      <alignment horizontal="right" vertical="center" wrapText="1"/>
    </xf>
    <xf numFmtId="43" fontId="25" fillId="24" borderId="10" xfId="42" applyFont="1" applyFill="1" applyBorder="1" applyAlignment="1">
      <alignment vertical="center"/>
    </xf>
    <xf numFmtId="2" fontId="25" fillId="24" borderId="10" xfId="57" applyNumberFormat="1" applyFont="1" applyFill="1" applyBorder="1" applyAlignment="1">
      <alignment vertical="center" wrapText="1"/>
      <protection/>
    </xf>
    <xf numFmtId="2" fontId="24" fillId="24" borderId="10" xfId="57" applyNumberFormat="1" applyFont="1" applyFill="1" applyBorder="1" applyAlignment="1">
      <alignment vertical="center"/>
      <protection/>
    </xf>
    <xf numFmtId="2" fontId="24" fillId="24" borderId="10" xfId="57" applyNumberFormat="1" applyFont="1" applyFill="1" applyBorder="1" applyAlignment="1">
      <alignment vertical="center" wrapText="1"/>
      <protection/>
    </xf>
    <xf numFmtId="2" fontId="25" fillId="24" borderId="10" xfId="57" applyNumberFormat="1" applyFont="1" applyFill="1" applyBorder="1" applyAlignment="1">
      <alignment horizontal="right" vertical="center" wrapText="1"/>
      <protection/>
    </xf>
    <xf numFmtId="2" fontId="25" fillId="24" borderId="10" xfId="0" applyNumberFormat="1" applyFont="1" applyFill="1" applyBorder="1" applyAlignment="1">
      <alignment horizontal="right" vertical="center" wrapText="1"/>
    </xf>
    <xf numFmtId="2" fontId="24" fillId="24" borderId="10" xfId="57" applyNumberFormat="1" applyFont="1" applyFill="1" applyBorder="1" applyAlignment="1">
      <alignment horizontal="right" vertical="center" wrapText="1"/>
      <protection/>
    </xf>
    <xf numFmtId="2" fontId="25" fillId="24" borderId="10" xfId="57" applyNumberFormat="1" applyFont="1" applyFill="1" applyBorder="1" applyAlignment="1">
      <alignment horizontal="left" vertical="center"/>
      <protection/>
    </xf>
    <xf numFmtId="204" fontId="25" fillId="24" borderId="11" xfId="57" applyNumberFormat="1" applyFont="1" applyFill="1" applyBorder="1" applyAlignment="1">
      <alignment vertical="center"/>
      <protection/>
    </xf>
    <xf numFmtId="205" fontId="25" fillId="24" borderId="10" xfId="42" applyNumberFormat="1" applyFont="1" applyFill="1" applyBorder="1" applyAlignment="1">
      <alignment horizontal="right" vertical="center"/>
    </xf>
    <xf numFmtId="204" fontId="24" fillId="24" borderId="11" xfId="57" applyNumberFormat="1" applyFont="1" applyFill="1" applyBorder="1" applyAlignment="1">
      <alignment vertical="center"/>
      <protection/>
    </xf>
    <xf numFmtId="43" fontId="24" fillId="24" borderId="10" xfId="42" applyFont="1" applyFill="1" applyBorder="1" applyAlignment="1">
      <alignment vertical="center"/>
    </xf>
    <xf numFmtId="2" fontId="24" fillId="24" borderId="12" xfId="57" applyNumberFormat="1" applyFont="1" applyFill="1" applyBorder="1" applyAlignment="1">
      <alignment vertical="center"/>
      <protection/>
    </xf>
    <xf numFmtId="2" fontId="25" fillId="24" borderId="12" xfId="57" applyNumberFormat="1" applyFont="1" applyFill="1" applyBorder="1" applyAlignment="1">
      <alignment vertical="center" wrapText="1"/>
      <protection/>
    </xf>
    <xf numFmtId="2" fontId="25" fillId="24" borderId="12" xfId="57" applyNumberFormat="1" applyFont="1" applyFill="1" applyBorder="1" applyAlignment="1">
      <alignment vertical="center"/>
      <protection/>
    </xf>
    <xf numFmtId="204" fontId="25" fillId="24" borderId="10" xfId="57" applyNumberFormat="1" applyFont="1" applyFill="1" applyBorder="1" applyAlignment="1">
      <alignment horizontal="justify" vertical="center" wrapText="1"/>
      <protection/>
    </xf>
    <xf numFmtId="204" fontId="25" fillId="24" borderId="0" xfId="57" applyNumberFormat="1" applyFont="1" applyFill="1" applyBorder="1" applyAlignment="1">
      <alignment horizontal="justify" vertical="center" wrapText="1"/>
      <protection/>
    </xf>
    <xf numFmtId="204" fontId="25" fillId="24" borderId="11" xfId="57" applyNumberFormat="1" applyFont="1" applyFill="1" applyBorder="1" applyAlignment="1">
      <alignment horizontal="justify" vertical="center" wrapText="1"/>
      <protection/>
    </xf>
    <xf numFmtId="2" fontId="25" fillId="24" borderId="0" xfId="57" applyNumberFormat="1" applyFont="1" applyFill="1" applyBorder="1" applyAlignment="1">
      <alignment horizontal="center" vertical="center" wrapText="1"/>
      <protection/>
    </xf>
    <xf numFmtId="2" fontId="25" fillId="24" borderId="0" xfId="57" applyNumberFormat="1" applyFont="1" applyFill="1" applyBorder="1" applyAlignment="1">
      <alignment vertical="top" wrapText="1"/>
      <protection/>
    </xf>
    <xf numFmtId="2" fontId="25" fillId="24" borderId="0" xfId="57" applyNumberFormat="1" applyFont="1" applyFill="1" applyBorder="1" applyAlignment="1">
      <alignment horizontal="left" vertical="center" wrapText="1"/>
      <protection/>
    </xf>
    <xf numFmtId="2" fontId="24" fillId="24" borderId="0" xfId="57" applyNumberFormat="1" applyFont="1" applyFill="1" applyBorder="1" applyAlignment="1">
      <alignment vertical="center"/>
      <protection/>
    </xf>
    <xf numFmtId="2" fontId="25" fillId="24" borderId="0" xfId="57" applyNumberFormat="1" applyFont="1" applyFill="1" applyBorder="1" applyAlignment="1">
      <alignment vertical="center"/>
      <protection/>
    </xf>
    <xf numFmtId="195" fontId="25" fillId="24" borderId="0" xfId="57" applyNumberFormat="1" applyFont="1" applyFill="1" applyBorder="1" applyAlignment="1">
      <alignment horizontal="center" vertical="center"/>
      <protection/>
    </xf>
    <xf numFmtId="2" fontId="25" fillId="24" borderId="0" xfId="57" applyNumberFormat="1" applyFont="1" applyFill="1" applyBorder="1" applyAlignment="1">
      <alignment horizontal="left" vertical="center"/>
      <protection/>
    </xf>
    <xf numFmtId="2" fontId="25" fillId="24" borderId="0" xfId="0" applyNumberFormat="1" applyFont="1" applyFill="1" applyBorder="1" applyAlignment="1">
      <alignment vertical="center"/>
    </xf>
    <xf numFmtId="2" fontId="25" fillId="24" borderId="0" xfId="57" applyNumberFormat="1" applyFont="1" applyFill="1" applyBorder="1" applyAlignment="1">
      <alignment horizontal="center" vertical="center"/>
      <protection/>
    </xf>
    <xf numFmtId="2" fontId="25" fillId="24" borderId="0" xfId="57" applyNumberFormat="1" applyFont="1" applyFill="1" applyBorder="1" applyAlignment="1">
      <alignment horizontal="right"/>
      <protection/>
    </xf>
    <xf numFmtId="2" fontId="25" fillId="24" borderId="0" xfId="57" applyNumberFormat="1" applyFont="1" applyFill="1" applyBorder="1" applyAlignment="1">
      <alignment wrapText="1"/>
      <protection/>
    </xf>
    <xf numFmtId="2" fontId="25" fillId="24" borderId="0" xfId="57" applyNumberFormat="1" applyFont="1" applyFill="1" applyBorder="1">
      <alignment/>
      <protection/>
    </xf>
    <xf numFmtId="204" fontId="25" fillId="24" borderId="0" xfId="57" applyNumberFormat="1" applyFont="1" applyFill="1">
      <alignment/>
      <protection/>
    </xf>
    <xf numFmtId="2" fontId="25" fillId="24" borderId="0" xfId="57" applyNumberFormat="1" applyFont="1" applyFill="1">
      <alignment/>
      <protection/>
    </xf>
    <xf numFmtId="2" fontId="25" fillId="24" borderId="0" xfId="57" applyNumberFormat="1" applyFont="1" applyFill="1" applyAlignment="1">
      <alignment horizontal="right"/>
      <protection/>
    </xf>
    <xf numFmtId="2" fontId="25" fillId="24" borderId="0" xfId="57" applyNumberFormat="1" applyFont="1" applyFill="1" applyAlignment="1">
      <alignment wrapText="1"/>
      <protection/>
    </xf>
    <xf numFmtId="2" fontId="24" fillId="24" borderId="0" xfId="57" applyNumberFormat="1" applyFont="1" applyFill="1" applyBorder="1" applyAlignment="1">
      <alignment horizontal="center" vertical="center" wrapText="1"/>
      <protection/>
    </xf>
    <xf numFmtId="2" fontId="24" fillId="24" borderId="0" xfId="57" applyNumberFormat="1" applyFont="1" applyFill="1" applyBorder="1" applyAlignment="1" quotePrefix="1">
      <alignment horizontal="left" vertical="center" wrapText="1"/>
      <protection/>
    </xf>
    <xf numFmtId="2" fontId="24" fillId="24" borderId="0" xfId="57" applyNumberFormat="1" applyFont="1" applyFill="1" applyBorder="1" applyAlignment="1">
      <alignment horizontal="left" vertical="center" wrapText="1"/>
      <protection/>
    </xf>
    <xf numFmtId="2" fontId="24" fillId="24" borderId="13" xfId="57" applyNumberFormat="1" applyFont="1" applyFill="1" applyBorder="1" applyAlignment="1">
      <alignment horizontal="center" vertical="center"/>
      <protection/>
    </xf>
    <xf numFmtId="2" fontId="24" fillId="24" borderId="14" xfId="57" applyNumberFormat="1" applyFont="1" applyFill="1" applyBorder="1" applyAlignment="1">
      <alignment horizontal="center" vertical="center"/>
      <protection/>
    </xf>
    <xf numFmtId="2" fontId="24" fillId="24" borderId="11" xfId="57" applyNumberFormat="1" applyFont="1" applyFill="1" applyBorder="1" applyAlignment="1">
      <alignment horizontal="center" vertical="center"/>
      <protection/>
    </xf>
    <xf numFmtId="2" fontId="25" fillId="24" borderId="0" xfId="57" applyNumberFormat="1" applyFont="1" applyFill="1" applyBorder="1" applyAlignment="1">
      <alignment horizontal="justify" vertical="center" wrapText="1"/>
      <protection/>
    </xf>
    <xf numFmtId="2" fontId="25" fillId="24" borderId="0" xfId="0" applyNumberFormat="1" applyFont="1" applyFill="1" applyBorder="1" applyAlignment="1">
      <alignment horizontal="justify" vertical="center" wrapText="1"/>
    </xf>
    <xf numFmtId="2" fontId="24" fillId="24" borderId="0" xfId="57" applyNumberFormat="1" applyFont="1" applyFill="1" applyBorder="1" applyAlignment="1">
      <alignment horizontal="left" vertical="center"/>
      <protection/>
    </xf>
    <xf numFmtId="2" fontId="25" fillId="24" borderId="0" xfId="57" applyNumberFormat="1" applyFont="1" applyFill="1" applyBorder="1" applyAlignment="1">
      <alignment horizontal="left" vertical="center" wrapText="1"/>
      <protection/>
    </xf>
    <xf numFmtId="2" fontId="24" fillId="24" borderId="10" xfId="57" applyNumberFormat="1" applyFont="1" applyFill="1" applyBorder="1" applyAlignment="1">
      <alignment horizontal="center" vertical="center"/>
      <protection/>
    </xf>
    <xf numFmtId="2" fontId="24" fillId="24" borderId="10" xfId="57" applyNumberFormat="1" applyFont="1" applyFill="1" applyBorder="1" applyAlignment="1">
      <alignment horizontal="center" vertical="center" wrapText="1"/>
      <protection/>
    </xf>
    <xf numFmtId="2" fontId="25" fillId="24" borderId="0" xfId="57" applyNumberFormat="1" applyFont="1" applyFill="1" applyBorder="1" applyAlignment="1">
      <alignment horizontal="left" vertical="top" wrapText="1"/>
      <protection/>
    </xf>
    <xf numFmtId="0" fontId="23" fillId="0" borderId="10" xfId="57" applyFont="1" applyBorder="1" applyAlignment="1">
      <alignment horizontal="center" vertical="top"/>
      <protection/>
    </xf>
    <xf numFmtId="2" fontId="22" fillId="0" borderId="0" xfId="0" applyNumberFormat="1"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age7-21-rev"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T169"/>
  <sheetViews>
    <sheetView tabSelected="1" view="pageBreakPreview" zoomScaleNormal="110" zoomScaleSheetLayoutView="100" workbookViewId="0" topLeftCell="A1">
      <selection activeCell="C6" sqref="C6"/>
    </sheetView>
  </sheetViews>
  <sheetFormatPr defaultColWidth="11.421875" defaultRowHeight="12.75"/>
  <cols>
    <col min="1" max="1" width="11.57421875" style="73" customWidth="1"/>
    <col min="2" max="2" width="22.00390625" style="74" customWidth="1"/>
    <col min="3" max="9" width="8.7109375" style="72" bestFit="1" customWidth="1"/>
    <col min="10" max="10" width="8.421875" style="72" customWidth="1"/>
    <col min="11" max="15" width="8.7109375" style="72" bestFit="1" customWidth="1"/>
    <col min="16" max="16" width="10.140625" style="71" customWidth="1"/>
    <col min="17" max="17" width="11.140625" style="71" customWidth="1"/>
    <col min="18" max="16384" width="11.421875" style="72" customWidth="1"/>
  </cols>
  <sheetData>
    <row r="1" spans="1:17" s="27" customFormat="1" ht="30">
      <c r="A1" s="85" t="s">
        <v>0</v>
      </c>
      <c r="B1" s="86" t="s">
        <v>205</v>
      </c>
      <c r="C1" s="78" t="s">
        <v>2</v>
      </c>
      <c r="D1" s="79"/>
      <c r="E1" s="79"/>
      <c r="F1" s="79"/>
      <c r="G1" s="80"/>
      <c r="H1" s="24" t="s">
        <v>3</v>
      </c>
      <c r="I1" s="24" t="s">
        <v>4</v>
      </c>
      <c r="J1" s="25" t="s">
        <v>5</v>
      </c>
      <c r="K1" s="85" t="s">
        <v>6</v>
      </c>
      <c r="L1" s="85"/>
      <c r="M1" s="85"/>
      <c r="N1" s="85"/>
      <c r="O1" s="85"/>
      <c r="P1" s="26"/>
      <c r="Q1" s="26"/>
    </row>
    <row r="2" spans="1:17" s="27" customFormat="1" ht="24.75" customHeight="1">
      <c r="A2" s="85"/>
      <c r="B2" s="86"/>
      <c r="C2" s="24" t="s">
        <v>7</v>
      </c>
      <c r="D2" s="24" t="s">
        <v>8</v>
      </c>
      <c r="E2" s="24" t="s">
        <v>9</v>
      </c>
      <c r="F2" s="24" t="s">
        <v>10</v>
      </c>
      <c r="G2" s="24" t="s">
        <v>11</v>
      </c>
      <c r="H2" s="24" t="s">
        <v>12</v>
      </c>
      <c r="I2" s="24" t="s">
        <v>13</v>
      </c>
      <c r="J2" s="24" t="s">
        <v>14</v>
      </c>
      <c r="K2" s="24" t="s">
        <v>181</v>
      </c>
      <c r="L2" s="24" t="s">
        <v>182</v>
      </c>
      <c r="M2" s="24" t="s">
        <v>183</v>
      </c>
      <c r="N2" s="24" t="s">
        <v>184</v>
      </c>
      <c r="O2" s="24" t="s">
        <v>185</v>
      </c>
      <c r="P2" s="26"/>
      <c r="Q2" s="26"/>
    </row>
    <row r="3" spans="1:17" s="31" customFormat="1" ht="19.5" customHeight="1">
      <c r="A3" s="28">
        <v>1</v>
      </c>
      <c r="B3" s="29">
        <v>2</v>
      </c>
      <c r="C3" s="28">
        <v>3</v>
      </c>
      <c r="D3" s="28">
        <v>4</v>
      </c>
      <c r="E3" s="28">
        <v>5</v>
      </c>
      <c r="F3" s="28">
        <v>6</v>
      </c>
      <c r="G3" s="28">
        <v>7</v>
      </c>
      <c r="H3" s="28">
        <v>8</v>
      </c>
      <c r="I3" s="28">
        <v>9</v>
      </c>
      <c r="J3" s="28">
        <v>10</v>
      </c>
      <c r="K3" s="28">
        <v>11</v>
      </c>
      <c r="L3" s="28">
        <v>12</v>
      </c>
      <c r="M3" s="28">
        <v>13</v>
      </c>
      <c r="N3" s="28">
        <v>14</v>
      </c>
      <c r="O3" s="28">
        <v>15</v>
      </c>
      <c r="P3" s="30"/>
      <c r="Q3" s="30"/>
    </row>
    <row r="4" spans="1:17" s="27" customFormat="1" ht="30">
      <c r="A4" s="32" t="s">
        <v>15</v>
      </c>
      <c r="B4" s="33" t="s">
        <v>16</v>
      </c>
      <c r="C4" s="32">
        <f>SUM(C6+C40)</f>
        <v>1563.33</v>
      </c>
      <c r="D4" s="32">
        <f aca="true" t="shared" si="0" ref="D4:K4">SUM(D6+D40)</f>
        <v>1389.8999999999999</v>
      </c>
      <c r="E4" s="32">
        <f t="shared" si="0"/>
        <v>1579.3799999999999</v>
      </c>
      <c r="F4" s="32">
        <f t="shared" si="0"/>
        <v>1416.6399999999999</v>
      </c>
      <c r="G4" s="32">
        <f t="shared" si="0"/>
        <v>1338.5000000000002</v>
      </c>
      <c r="H4" s="32">
        <f t="shared" si="0"/>
        <v>1396.52</v>
      </c>
      <c r="I4" s="32">
        <f t="shared" si="0"/>
        <v>1480.1899999999998</v>
      </c>
      <c r="J4" s="32">
        <f t="shared" si="0"/>
        <v>1506.9697359781176</v>
      </c>
      <c r="K4" s="32">
        <f t="shared" si="0"/>
        <v>1581.4766035173443</v>
      </c>
      <c r="L4" s="32">
        <f>SUM(L6+L40)</f>
        <v>1665.9660667105536</v>
      </c>
      <c r="M4" s="32">
        <f>SUM(M6+M40)</f>
        <v>1787.461295853302</v>
      </c>
      <c r="N4" s="32">
        <f>SUM(N6+N40)</f>
        <v>1945.928395278721</v>
      </c>
      <c r="O4" s="32">
        <f>SUM(O6+O40)</f>
        <v>2090.314203532973</v>
      </c>
      <c r="P4" s="26"/>
      <c r="Q4" s="26"/>
    </row>
    <row r="5" spans="1:17" s="27" customFormat="1" ht="30">
      <c r="A5" s="32" t="s">
        <v>17</v>
      </c>
      <c r="B5" s="33" t="s">
        <v>18</v>
      </c>
      <c r="C5" s="32">
        <f>SUM(C6+C38)</f>
        <v>542.97</v>
      </c>
      <c r="D5" s="32">
        <f aca="true" t="shared" si="1" ref="D5:K5">SUM(D6+D38)</f>
        <v>563.38</v>
      </c>
      <c r="E5" s="32">
        <f t="shared" si="1"/>
        <v>598.3299999999999</v>
      </c>
      <c r="F5" s="32">
        <f t="shared" si="1"/>
        <v>804.52</v>
      </c>
      <c r="G5" s="32">
        <f t="shared" si="1"/>
        <v>905.5700000000002</v>
      </c>
      <c r="H5" s="32">
        <f t="shared" si="1"/>
        <v>1068.76</v>
      </c>
      <c r="I5" s="32">
        <f t="shared" si="1"/>
        <v>1257.2300000000002</v>
      </c>
      <c r="J5" s="32">
        <f t="shared" si="1"/>
        <v>475.811835814326</v>
      </c>
      <c r="K5" s="32">
        <f t="shared" si="1"/>
        <v>531.7907504020985</v>
      </c>
      <c r="L5" s="32">
        <f>SUM(L6+L38)</f>
        <v>594.904159353138</v>
      </c>
      <c r="M5" s="32">
        <f>SUM(M6+M38)</f>
        <v>666.1059853010053</v>
      </c>
      <c r="N5" s="32">
        <f>SUM(N6+N38)</f>
        <v>747.1210873632629</v>
      </c>
      <c r="O5" s="32">
        <f>SUM(O6+O38)</f>
        <v>837.5212587659447</v>
      </c>
      <c r="P5" s="26"/>
      <c r="Q5" s="26"/>
    </row>
    <row r="6" spans="1:17" s="27" customFormat="1" ht="19.5" customHeight="1">
      <c r="A6" s="32" t="s">
        <v>19</v>
      </c>
      <c r="B6" s="33" t="s">
        <v>20</v>
      </c>
      <c r="C6" s="32">
        <f aca="true" t="shared" si="2" ref="C6:O6">C7+C8+C9+C13+C16+C17+C20+C30+C31+C32+C34</f>
        <v>149.59</v>
      </c>
      <c r="D6" s="32">
        <f t="shared" si="2"/>
        <v>184.59</v>
      </c>
      <c r="E6" s="32">
        <f t="shared" si="2"/>
        <v>222.94</v>
      </c>
      <c r="F6" s="32">
        <f t="shared" si="2"/>
        <v>278.88</v>
      </c>
      <c r="G6" s="32">
        <f t="shared" si="2"/>
        <v>293.94</v>
      </c>
      <c r="H6" s="32">
        <f t="shared" si="2"/>
        <v>370.28000000000003</v>
      </c>
      <c r="I6" s="32">
        <f t="shared" si="2"/>
        <v>425.67</v>
      </c>
      <c r="J6" s="32">
        <f t="shared" si="2"/>
        <v>475.811835814326</v>
      </c>
      <c r="K6" s="32">
        <f t="shared" si="2"/>
        <v>531.7907504020985</v>
      </c>
      <c r="L6" s="32">
        <f t="shared" si="2"/>
        <v>594.904159353138</v>
      </c>
      <c r="M6" s="32">
        <f t="shared" si="2"/>
        <v>666.1059853010053</v>
      </c>
      <c r="N6" s="32">
        <f t="shared" si="2"/>
        <v>747.1210873632629</v>
      </c>
      <c r="O6" s="32">
        <f t="shared" si="2"/>
        <v>837.5212587659447</v>
      </c>
      <c r="P6" s="26"/>
      <c r="Q6" s="26"/>
    </row>
    <row r="7" spans="1:17" s="38" customFormat="1" ht="28.5">
      <c r="A7" s="34" t="s">
        <v>21</v>
      </c>
      <c r="B7" s="35" t="s">
        <v>22</v>
      </c>
      <c r="C7" s="36">
        <v>0</v>
      </c>
      <c r="D7" s="36">
        <v>0</v>
      </c>
      <c r="E7" s="36">
        <v>0</v>
      </c>
      <c r="F7" s="36">
        <v>0</v>
      </c>
      <c r="G7" s="36">
        <v>0</v>
      </c>
      <c r="H7" s="36">
        <v>0</v>
      </c>
      <c r="I7" s="36">
        <v>0</v>
      </c>
      <c r="J7" s="36">
        <v>0</v>
      </c>
      <c r="K7" s="36">
        <v>0</v>
      </c>
      <c r="L7" s="36">
        <v>0</v>
      </c>
      <c r="M7" s="36">
        <v>0</v>
      </c>
      <c r="N7" s="36">
        <v>0</v>
      </c>
      <c r="O7" s="36">
        <v>0</v>
      </c>
      <c r="P7" s="37"/>
      <c r="Q7" s="37"/>
    </row>
    <row r="8" spans="1:20" s="38" customFormat="1" ht="42.75">
      <c r="A8" s="34" t="s">
        <v>23</v>
      </c>
      <c r="B8" s="35" t="s">
        <v>250</v>
      </c>
      <c r="C8" s="23">
        <v>0.85</v>
      </c>
      <c r="D8" s="23">
        <v>1.56</v>
      </c>
      <c r="E8" s="23">
        <v>2.13</v>
      </c>
      <c r="F8" s="23">
        <v>4.29</v>
      </c>
      <c r="G8" s="23">
        <v>4.88</v>
      </c>
      <c r="H8" s="39">
        <v>6</v>
      </c>
      <c r="I8" s="39">
        <v>7</v>
      </c>
      <c r="J8" s="39">
        <f>I8+(I8*P8)+0.01</f>
        <v>7.797499999999999</v>
      </c>
      <c r="K8" s="39">
        <f>J8+(J8*P8)-0.51</f>
        <v>8.16471875</v>
      </c>
      <c r="L8" s="39">
        <f>K8+(K8*P8)-0.54</f>
        <v>8.543249609375</v>
      </c>
      <c r="M8" s="39">
        <f>L8+(L8*P8)-0.6</f>
        <v>8.904365190429688</v>
      </c>
      <c r="N8" s="39">
        <f>M8+(M8*P8)-0.063</f>
        <v>9.843106274353028</v>
      </c>
      <c r="O8" s="39">
        <f>N8+(N8*P8)-1.32</f>
        <v>9.630455730217744</v>
      </c>
      <c r="P8" s="37">
        <v>0.1125</v>
      </c>
      <c r="Q8" s="37">
        <f>R8/(C8*100)</f>
        <v>0.037462184873949575</v>
      </c>
      <c r="R8" s="38">
        <f>I8-S8</f>
        <v>3.184285714285714</v>
      </c>
      <c r="S8" s="38">
        <f>T8/7</f>
        <v>3.815714285714286</v>
      </c>
      <c r="T8" s="38">
        <f>SUM(C8:I8)</f>
        <v>26.71</v>
      </c>
    </row>
    <row r="9" spans="1:17" s="38" customFormat="1" ht="28.5">
      <c r="A9" s="34" t="s">
        <v>25</v>
      </c>
      <c r="B9" s="35" t="s">
        <v>230</v>
      </c>
      <c r="C9" s="23">
        <v>2.75</v>
      </c>
      <c r="D9" s="23">
        <v>1.95</v>
      </c>
      <c r="E9" s="23">
        <v>2.71</v>
      </c>
      <c r="F9" s="23">
        <v>7.33</v>
      </c>
      <c r="G9" s="23">
        <v>4.61</v>
      </c>
      <c r="H9" s="39">
        <v>5.48</v>
      </c>
      <c r="I9" s="39">
        <v>6.56</v>
      </c>
      <c r="J9" s="39">
        <f>I9+(I9*P9)</f>
        <v>7.298</v>
      </c>
      <c r="K9" s="39">
        <f>J9+(J9*P9)</f>
        <v>8.119025</v>
      </c>
      <c r="L9" s="39">
        <f>K9+(K9*P9)</f>
        <v>9.032415312500001</v>
      </c>
      <c r="M9" s="39">
        <f>L9+(L9*P9)</f>
        <v>10.048562035156252</v>
      </c>
      <c r="N9" s="39">
        <f>M9+(M9*P9)</f>
        <v>11.17902526411133</v>
      </c>
      <c r="O9" s="39">
        <f>N9+(N9*P9)</f>
        <v>12.436665606323855</v>
      </c>
      <c r="P9" s="37">
        <f>P163</f>
        <v>0.1125</v>
      </c>
      <c r="Q9" s="37">
        <f>Q163</f>
        <v>0</v>
      </c>
    </row>
    <row r="10" spans="1:17" s="38" customFormat="1" ht="19.5" customHeight="1">
      <c r="A10" s="23">
        <v>101</v>
      </c>
      <c r="B10" s="35" t="s">
        <v>207</v>
      </c>
      <c r="C10" s="23">
        <v>0.84</v>
      </c>
      <c r="D10" s="23">
        <v>1.34</v>
      </c>
      <c r="E10" s="23">
        <v>2</v>
      </c>
      <c r="F10" s="23">
        <v>6.43</v>
      </c>
      <c r="G10" s="23">
        <v>3.72</v>
      </c>
      <c r="H10" s="39">
        <v>4.82</v>
      </c>
      <c r="I10" s="39">
        <v>5.3</v>
      </c>
      <c r="J10" s="39">
        <f aca="true" t="shared" si="3" ref="J10:O10">I10*1.1242</f>
        <v>5.95826</v>
      </c>
      <c r="K10" s="39">
        <f t="shared" si="3"/>
        <v>6.698275892000001</v>
      </c>
      <c r="L10" s="39">
        <f t="shared" si="3"/>
        <v>7.5302017577864016</v>
      </c>
      <c r="M10" s="39">
        <f t="shared" si="3"/>
        <v>8.465452816103474</v>
      </c>
      <c r="N10" s="39">
        <f t="shared" si="3"/>
        <v>9.516862055863525</v>
      </c>
      <c r="O10" s="39">
        <f t="shared" si="3"/>
        <v>10.698856323201776</v>
      </c>
      <c r="P10" s="37">
        <f>+P9</f>
        <v>0.1125</v>
      </c>
      <c r="Q10" s="37">
        <f>+Q9</f>
        <v>0</v>
      </c>
    </row>
    <row r="11" spans="1:17" s="38" customFormat="1" ht="18.75" customHeight="1">
      <c r="A11" s="23">
        <v>102</v>
      </c>
      <c r="B11" s="35" t="s">
        <v>26</v>
      </c>
      <c r="C11" s="36">
        <v>0</v>
      </c>
      <c r="D11" s="36">
        <v>0</v>
      </c>
      <c r="E11" s="36">
        <v>0</v>
      </c>
      <c r="F11" s="36">
        <v>0</v>
      </c>
      <c r="G11" s="36">
        <v>0</v>
      </c>
      <c r="H11" s="36">
        <v>0</v>
      </c>
      <c r="I11" s="36">
        <v>0</v>
      </c>
      <c r="J11" s="36">
        <v>0</v>
      </c>
      <c r="K11" s="36">
        <v>0</v>
      </c>
      <c r="L11" s="36">
        <v>0</v>
      </c>
      <c r="M11" s="36">
        <v>0</v>
      </c>
      <c r="N11" s="36">
        <v>0</v>
      </c>
      <c r="O11" s="36">
        <v>0</v>
      </c>
      <c r="P11" s="37"/>
      <c r="Q11" s="37"/>
    </row>
    <row r="12" spans="1:17" s="38" customFormat="1" ht="19.5" customHeight="1">
      <c r="A12" s="23">
        <v>103</v>
      </c>
      <c r="B12" s="35" t="s">
        <v>27</v>
      </c>
      <c r="C12" s="36">
        <v>0</v>
      </c>
      <c r="D12" s="36">
        <v>0</v>
      </c>
      <c r="E12" s="36">
        <v>0</v>
      </c>
      <c r="F12" s="36">
        <v>0</v>
      </c>
      <c r="G12" s="36">
        <v>0</v>
      </c>
      <c r="H12" s="36">
        <v>0</v>
      </c>
      <c r="I12" s="36">
        <v>0</v>
      </c>
      <c r="J12" s="36">
        <v>0</v>
      </c>
      <c r="K12" s="36">
        <v>0</v>
      </c>
      <c r="L12" s="36">
        <v>0</v>
      </c>
      <c r="M12" s="36">
        <v>0</v>
      </c>
      <c r="N12" s="36">
        <v>0</v>
      </c>
      <c r="O12" s="36">
        <v>0</v>
      </c>
      <c r="P12" s="37"/>
      <c r="Q12" s="37"/>
    </row>
    <row r="13" spans="1:17" s="38" customFormat="1" ht="42.75">
      <c r="A13" s="34" t="s">
        <v>28</v>
      </c>
      <c r="B13" s="35" t="s">
        <v>251</v>
      </c>
      <c r="C13" s="23">
        <v>4.26</v>
      </c>
      <c r="D13" s="23">
        <v>4.35</v>
      </c>
      <c r="E13" s="23">
        <v>4.48</v>
      </c>
      <c r="F13" s="23">
        <v>5.7</v>
      </c>
      <c r="G13" s="23">
        <v>8.27</v>
      </c>
      <c r="H13" s="39">
        <v>7.37</v>
      </c>
      <c r="I13" s="39">
        <v>7.91</v>
      </c>
      <c r="J13" s="39">
        <v>7.91</v>
      </c>
      <c r="K13" s="39">
        <v>7.91</v>
      </c>
      <c r="L13" s="39">
        <v>7.91</v>
      </c>
      <c r="M13" s="39">
        <v>7.91</v>
      </c>
      <c r="N13" s="39">
        <v>7.91</v>
      </c>
      <c r="O13" s="39">
        <v>7.91</v>
      </c>
      <c r="P13" s="37">
        <v>0</v>
      </c>
      <c r="Q13" s="37">
        <f>+Q163</f>
        <v>0</v>
      </c>
    </row>
    <row r="14" spans="1:17" s="38" customFormat="1" ht="28.5">
      <c r="A14" s="23" t="s">
        <v>29</v>
      </c>
      <c r="B14" s="35" t="s">
        <v>252</v>
      </c>
      <c r="C14" s="23">
        <f>0.5636+0.1921</f>
        <v>0.7557</v>
      </c>
      <c r="D14" s="23">
        <v>0.77</v>
      </c>
      <c r="E14" s="23">
        <v>0.78</v>
      </c>
      <c r="F14" s="23">
        <v>1.31</v>
      </c>
      <c r="G14" s="23">
        <f>1.19+0.19</f>
        <v>1.38</v>
      </c>
      <c r="H14" s="39">
        <f>1.7+0.25</f>
        <v>1.95</v>
      </c>
      <c r="I14" s="39">
        <f>1.7+0.25</f>
        <v>1.95</v>
      </c>
      <c r="J14" s="39">
        <f aca="true" t="shared" si="4" ref="J14:O14">1.7+0.25</f>
        <v>1.95</v>
      </c>
      <c r="K14" s="39">
        <f t="shared" si="4"/>
        <v>1.95</v>
      </c>
      <c r="L14" s="39">
        <f t="shared" si="4"/>
        <v>1.95</v>
      </c>
      <c r="M14" s="39">
        <f t="shared" si="4"/>
        <v>1.95</v>
      </c>
      <c r="N14" s="39">
        <f t="shared" si="4"/>
        <v>1.95</v>
      </c>
      <c r="O14" s="39">
        <f t="shared" si="4"/>
        <v>1.95</v>
      </c>
      <c r="P14" s="37">
        <v>0</v>
      </c>
      <c r="Q14" s="37">
        <f>+Q163</f>
        <v>0</v>
      </c>
    </row>
    <row r="15" spans="1:20" s="38" customFormat="1" ht="19.5" customHeight="1">
      <c r="A15" s="34" t="s">
        <v>30</v>
      </c>
      <c r="B15" s="35" t="s">
        <v>253</v>
      </c>
      <c r="C15" s="22">
        <v>3.5</v>
      </c>
      <c r="D15" s="23">
        <v>3.58</v>
      </c>
      <c r="E15" s="23">
        <v>3.7</v>
      </c>
      <c r="F15" s="23">
        <v>4.39</v>
      </c>
      <c r="G15" s="23">
        <v>6.89</v>
      </c>
      <c r="H15" s="39">
        <f>0.01+5.26</f>
        <v>5.27</v>
      </c>
      <c r="I15" s="39">
        <f>0.01+5.79</f>
        <v>5.8</v>
      </c>
      <c r="J15" s="39">
        <f aca="true" t="shared" si="5" ref="J15:O15">0.01+5.79</f>
        <v>5.8</v>
      </c>
      <c r="K15" s="39">
        <f t="shared" si="5"/>
        <v>5.8</v>
      </c>
      <c r="L15" s="39">
        <f t="shared" si="5"/>
        <v>5.8</v>
      </c>
      <c r="M15" s="39">
        <f t="shared" si="5"/>
        <v>5.8</v>
      </c>
      <c r="N15" s="39">
        <f t="shared" si="5"/>
        <v>5.8</v>
      </c>
      <c r="O15" s="39">
        <f t="shared" si="5"/>
        <v>5.8</v>
      </c>
      <c r="P15" s="37">
        <v>0</v>
      </c>
      <c r="Q15" s="37">
        <f>R15/(C15*100)</f>
        <v>0.0030489795918367335</v>
      </c>
      <c r="R15" s="38">
        <f>I15-S15</f>
        <v>1.0671428571428567</v>
      </c>
      <c r="S15" s="38">
        <f>T15/7</f>
        <v>4.732857142857143</v>
      </c>
      <c r="T15" s="38">
        <f>SUM(C15:I15)</f>
        <v>33.13</v>
      </c>
    </row>
    <row r="16" spans="1:17" s="38" customFormat="1" ht="45.75" customHeight="1">
      <c r="A16" s="34" t="s">
        <v>31</v>
      </c>
      <c r="B16" s="35" t="s">
        <v>32</v>
      </c>
      <c r="C16" s="40">
        <v>0</v>
      </c>
      <c r="D16" s="36">
        <v>0</v>
      </c>
      <c r="E16" s="36">
        <v>0</v>
      </c>
      <c r="F16" s="36">
        <v>0</v>
      </c>
      <c r="G16" s="36">
        <v>0</v>
      </c>
      <c r="H16" s="41"/>
      <c r="I16" s="41"/>
      <c r="J16" s="41">
        <f aca="true" t="shared" si="6" ref="J16:O16">I16*1.06</f>
        <v>0</v>
      </c>
      <c r="K16" s="41">
        <f t="shared" si="6"/>
        <v>0</v>
      </c>
      <c r="L16" s="41">
        <f t="shared" si="6"/>
        <v>0</v>
      </c>
      <c r="M16" s="41">
        <f t="shared" si="6"/>
        <v>0</v>
      </c>
      <c r="N16" s="41">
        <f t="shared" si="6"/>
        <v>0</v>
      </c>
      <c r="O16" s="41">
        <f t="shared" si="6"/>
        <v>0</v>
      </c>
      <c r="P16" s="37"/>
      <c r="Q16" s="37"/>
    </row>
    <row r="17" spans="1:20" s="38" customFormat="1" ht="23.25" customHeight="1">
      <c r="A17" s="34" t="s">
        <v>33</v>
      </c>
      <c r="B17" s="42" t="s">
        <v>231</v>
      </c>
      <c r="C17" s="23">
        <v>37.94</v>
      </c>
      <c r="D17" s="23">
        <v>46.47</v>
      </c>
      <c r="E17" s="23">
        <v>57.28</v>
      </c>
      <c r="F17" s="23">
        <v>70.64</v>
      </c>
      <c r="G17" s="23">
        <v>96.26</v>
      </c>
      <c r="H17" s="39">
        <v>95</v>
      </c>
      <c r="I17" s="39">
        <v>109</v>
      </c>
      <c r="J17" s="39">
        <f>I17+(I17*P17)</f>
        <v>120.58670000000001</v>
      </c>
      <c r="K17" s="39">
        <f>J17+(J17*P17)</f>
        <v>133.40506621</v>
      </c>
      <c r="L17" s="39">
        <f>K17+(K17*P17)</f>
        <v>147.586024748123</v>
      </c>
      <c r="M17" s="39">
        <f>L17+(L17*P17)</f>
        <v>163.2744191788485</v>
      </c>
      <c r="N17" s="39">
        <f>M17+(M17*P17)</f>
        <v>180.63048993756007</v>
      </c>
      <c r="O17" s="39">
        <f>N17+(N17*P17)</f>
        <v>199.8315110179227</v>
      </c>
      <c r="P17" s="37">
        <v>0.1063</v>
      </c>
      <c r="Q17" s="37">
        <f>R17/(C17*100)</f>
        <v>0.009428797349197984</v>
      </c>
      <c r="R17" s="38">
        <f>I17-S17</f>
        <v>35.77285714285715</v>
      </c>
      <c r="S17" s="38">
        <f>T17/7</f>
        <v>73.22714285714285</v>
      </c>
      <c r="T17" s="38">
        <f>SUM(C17:I17)</f>
        <v>512.5899999999999</v>
      </c>
    </row>
    <row r="18" spans="1:20" s="38" customFormat="1" ht="28.5">
      <c r="A18" s="23" t="s">
        <v>34</v>
      </c>
      <c r="B18" s="42" t="s">
        <v>254</v>
      </c>
      <c r="C18" s="23">
        <f>0.16+7.26</f>
        <v>7.42</v>
      </c>
      <c r="D18" s="23">
        <v>9.18</v>
      </c>
      <c r="E18" s="23">
        <v>11.83</v>
      </c>
      <c r="F18" s="23">
        <v>15.63</v>
      </c>
      <c r="G18" s="23">
        <f>0.05+18.87</f>
        <v>18.92</v>
      </c>
      <c r="H18" s="39">
        <f>21.84</f>
        <v>21.84</v>
      </c>
      <c r="I18" s="39">
        <v>24.47</v>
      </c>
      <c r="J18" s="39">
        <f>I18+(I18*P18)</f>
        <v>27.071161</v>
      </c>
      <c r="K18" s="39">
        <f>J18+(J18*P18)</f>
        <v>29.9488254143</v>
      </c>
      <c r="L18" s="39">
        <f>K18+(K18*P18)</f>
        <v>33.13238555584009</v>
      </c>
      <c r="M18" s="39">
        <f>L18+(L18*P18)</f>
        <v>36.65435814042589</v>
      </c>
      <c r="N18" s="39">
        <f>M18+(M18*P18)</f>
        <v>40.55071641075316</v>
      </c>
      <c r="O18" s="39">
        <f>N18+(N18*P18)</f>
        <v>44.86125756521622</v>
      </c>
      <c r="P18" s="37">
        <v>0.1063</v>
      </c>
      <c r="Q18" s="37">
        <f>R18/(C18*100)</f>
        <v>0.011936850211782825</v>
      </c>
      <c r="R18" s="38">
        <f>I18-S18</f>
        <v>8.857142857142856</v>
      </c>
      <c r="S18" s="38">
        <f>T18/7</f>
        <v>15.612857142857143</v>
      </c>
      <c r="T18" s="38">
        <f>SUM(C18:I18)</f>
        <v>109.29</v>
      </c>
    </row>
    <row r="19" spans="1:20" s="38" customFormat="1" ht="28.5">
      <c r="A19" s="23">
        <v>105</v>
      </c>
      <c r="B19" s="42" t="s">
        <v>35</v>
      </c>
      <c r="C19" s="23">
        <v>26.49</v>
      </c>
      <c r="D19" s="23">
        <v>30.15</v>
      </c>
      <c r="E19" s="23">
        <v>35.04</v>
      </c>
      <c r="F19" s="23">
        <v>45.99</v>
      </c>
      <c r="G19" s="23">
        <v>66.86</v>
      </c>
      <c r="H19" s="39">
        <v>60.97</v>
      </c>
      <c r="I19" s="39">
        <v>70.88</v>
      </c>
      <c r="J19" s="39">
        <f aca="true" t="shared" si="7" ref="J19:J27">I19+(I19*P19)</f>
        <v>78.41454399999999</v>
      </c>
      <c r="K19" s="39">
        <f aca="true" t="shared" si="8" ref="K19:K27">J19+(J19*P19)</f>
        <v>86.75001002719999</v>
      </c>
      <c r="L19" s="39">
        <f aca="true" t="shared" si="9" ref="L19:L27">K19+(K19*P19)</f>
        <v>95.97153609309134</v>
      </c>
      <c r="M19" s="39">
        <f aca="true" t="shared" si="10" ref="M19:M27">L19+(L19*P19)</f>
        <v>106.17331037978695</v>
      </c>
      <c r="N19" s="39">
        <f aca="true" t="shared" si="11" ref="N19:N27">M19+(M19*P19)</f>
        <v>117.45953327315831</v>
      </c>
      <c r="O19" s="39">
        <f aca="true" t="shared" si="12" ref="O19:O27">N19+(N19*P19)</f>
        <v>129.94548166009506</v>
      </c>
      <c r="P19" s="37">
        <v>0.1063</v>
      </c>
      <c r="Q19" s="37">
        <f>R19/(C19*100)</f>
        <v>0.008616728684678854</v>
      </c>
      <c r="R19" s="38">
        <f>I19-S19</f>
        <v>22.825714285714284</v>
      </c>
      <c r="S19" s="38">
        <f>T19/7</f>
        <v>48.05428571428571</v>
      </c>
      <c r="T19" s="38">
        <f>SUM(C19:I19)</f>
        <v>336.38</v>
      </c>
    </row>
    <row r="20" spans="1:20" s="38" customFormat="1" ht="28.5">
      <c r="A20" s="34" t="s">
        <v>36</v>
      </c>
      <c r="B20" s="42" t="s">
        <v>232</v>
      </c>
      <c r="C20" s="23">
        <v>81.32</v>
      </c>
      <c r="D20" s="23">
        <v>101.14</v>
      </c>
      <c r="E20" s="23">
        <v>121.07</v>
      </c>
      <c r="F20" s="23">
        <v>142.74</v>
      </c>
      <c r="G20" s="23">
        <v>124.19</v>
      </c>
      <c r="H20" s="39">
        <v>204</v>
      </c>
      <c r="I20" s="39">
        <v>225</v>
      </c>
      <c r="J20" s="39">
        <f t="shared" si="7"/>
        <v>249.75</v>
      </c>
      <c r="K20" s="39">
        <f t="shared" si="8"/>
        <v>277.2225</v>
      </c>
      <c r="L20" s="39">
        <f t="shared" si="9"/>
        <v>307.71697500000005</v>
      </c>
      <c r="M20" s="39">
        <f t="shared" si="10"/>
        <v>341.56584225000006</v>
      </c>
      <c r="N20" s="39">
        <f t="shared" si="11"/>
        <v>379.13808489750005</v>
      </c>
      <c r="O20" s="39">
        <f t="shared" si="12"/>
        <v>420.84327423622506</v>
      </c>
      <c r="P20" s="37">
        <v>0.11</v>
      </c>
      <c r="Q20" s="37">
        <f>R20/(C20*100)</f>
        <v>0.010110673880964094</v>
      </c>
      <c r="R20" s="38">
        <f>I20-S20</f>
        <v>82.22</v>
      </c>
      <c r="S20" s="38">
        <f>T20/7</f>
        <v>142.78</v>
      </c>
      <c r="T20" s="38">
        <f>SUM(C20:I20)</f>
        <v>999.46</v>
      </c>
    </row>
    <row r="21" spans="1:20" s="38" customFormat="1" ht="18.75" customHeight="1">
      <c r="A21" s="23">
        <v>101</v>
      </c>
      <c r="B21" s="42" t="s">
        <v>37</v>
      </c>
      <c r="C21" s="23">
        <v>5.99</v>
      </c>
      <c r="D21" s="23">
        <v>4.55</v>
      </c>
      <c r="E21" s="23">
        <v>7.65</v>
      </c>
      <c r="F21" s="23">
        <v>8.5</v>
      </c>
      <c r="G21" s="23">
        <v>10</v>
      </c>
      <c r="H21" s="39">
        <v>23</v>
      </c>
      <c r="I21" s="39">
        <v>25</v>
      </c>
      <c r="J21" s="39">
        <f t="shared" si="7"/>
        <v>27.75</v>
      </c>
      <c r="K21" s="39">
        <f t="shared" si="8"/>
        <v>30.802500000000002</v>
      </c>
      <c r="L21" s="39">
        <f t="shared" si="9"/>
        <v>34.190775</v>
      </c>
      <c r="M21" s="39">
        <f t="shared" si="10"/>
        <v>37.95176025</v>
      </c>
      <c r="N21" s="39">
        <f t="shared" si="11"/>
        <v>42.1264538775</v>
      </c>
      <c r="O21" s="39">
        <f t="shared" si="12"/>
        <v>46.760363804025</v>
      </c>
      <c r="P21" s="37">
        <v>0.11</v>
      </c>
      <c r="Q21" s="37">
        <f>R21/(C21*100)</f>
        <v>0.021538278082518483</v>
      </c>
      <c r="R21" s="38">
        <f>I21-S21</f>
        <v>12.901428571428571</v>
      </c>
      <c r="S21" s="38">
        <f>T21/7</f>
        <v>12.098571428571429</v>
      </c>
      <c r="T21" s="38">
        <f>SUM(C21:I21)</f>
        <v>84.69</v>
      </c>
    </row>
    <row r="22" spans="1:17" s="38" customFormat="1" ht="19.5" customHeight="1">
      <c r="A22" s="23">
        <v>102</v>
      </c>
      <c r="B22" s="42" t="s">
        <v>255</v>
      </c>
      <c r="C22" s="23">
        <v>25.89</v>
      </c>
      <c r="D22" s="23">
        <v>26.09</v>
      </c>
      <c r="E22" s="23">
        <v>36.82</v>
      </c>
      <c r="F22" s="23">
        <v>34.87</v>
      </c>
      <c r="G22" s="23">
        <v>25.7</v>
      </c>
      <c r="H22" s="39">
        <v>50</v>
      </c>
      <c r="I22" s="39">
        <v>60</v>
      </c>
      <c r="J22" s="39">
        <f>I22+(I22*P22)</f>
        <v>66.6</v>
      </c>
      <c r="K22" s="39">
        <f>J22+(J22*P22)</f>
        <v>73.92599999999999</v>
      </c>
      <c r="L22" s="39">
        <f>K22+(K22*P22)</f>
        <v>82.05785999999999</v>
      </c>
      <c r="M22" s="39">
        <f>L22+(L22*P22)</f>
        <v>91.08422459999998</v>
      </c>
      <c r="N22" s="39">
        <f>M22+(M22*P22)</f>
        <v>101.10348930599999</v>
      </c>
      <c r="O22" s="39">
        <f>N22+(N22*P22)</f>
        <v>112.22487312965998</v>
      </c>
      <c r="P22" s="37">
        <v>0.11</v>
      </c>
      <c r="Q22" s="37"/>
    </row>
    <row r="23" spans="1:17" s="38" customFormat="1" ht="28.5">
      <c r="A23" s="23">
        <v>103</v>
      </c>
      <c r="B23" s="42" t="s">
        <v>38</v>
      </c>
      <c r="C23" s="36">
        <v>0</v>
      </c>
      <c r="D23" s="36">
        <v>0</v>
      </c>
      <c r="E23" s="36">
        <v>0</v>
      </c>
      <c r="F23" s="36">
        <v>0</v>
      </c>
      <c r="G23" s="36">
        <v>0</v>
      </c>
      <c r="H23" s="36">
        <v>0</v>
      </c>
      <c r="I23" s="36">
        <v>0</v>
      </c>
      <c r="J23" s="36">
        <v>0</v>
      </c>
      <c r="K23" s="36">
        <v>0</v>
      </c>
      <c r="L23" s="36">
        <v>0</v>
      </c>
      <c r="M23" s="36">
        <v>0</v>
      </c>
      <c r="N23" s="36">
        <v>0</v>
      </c>
      <c r="O23" s="36">
        <v>0</v>
      </c>
      <c r="P23" s="37"/>
      <c r="Q23" s="37"/>
    </row>
    <row r="24" spans="1:17" s="38" customFormat="1" ht="28.5">
      <c r="A24" s="23">
        <v>104</v>
      </c>
      <c r="B24" s="42" t="s">
        <v>39</v>
      </c>
      <c r="C24" s="36">
        <v>0</v>
      </c>
      <c r="D24" s="36">
        <v>0</v>
      </c>
      <c r="E24" s="36">
        <v>0</v>
      </c>
      <c r="F24" s="36">
        <v>0</v>
      </c>
      <c r="G24" s="36">
        <v>0</v>
      </c>
      <c r="H24" s="36">
        <v>0</v>
      </c>
      <c r="I24" s="36">
        <v>0</v>
      </c>
      <c r="J24" s="36">
        <v>0</v>
      </c>
      <c r="K24" s="36">
        <v>0</v>
      </c>
      <c r="L24" s="36">
        <v>0</v>
      </c>
      <c r="M24" s="36">
        <v>0</v>
      </c>
      <c r="N24" s="36">
        <v>0</v>
      </c>
      <c r="O24" s="36">
        <v>0</v>
      </c>
      <c r="P24" s="37"/>
      <c r="Q24" s="37"/>
    </row>
    <row r="25" spans="1:17" s="38" customFormat="1" ht="28.5">
      <c r="A25" s="23">
        <v>105</v>
      </c>
      <c r="B25" s="42" t="s">
        <v>40</v>
      </c>
      <c r="C25" s="36">
        <v>0</v>
      </c>
      <c r="D25" s="36">
        <v>0</v>
      </c>
      <c r="E25" s="36">
        <v>0</v>
      </c>
      <c r="F25" s="36">
        <v>0</v>
      </c>
      <c r="G25" s="36">
        <v>0</v>
      </c>
      <c r="H25" s="36">
        <v>0</v>
      </c>
      <c r="I25" s="36">
        <v>0</v>
      </c>
      <c r="J25" s="36">
        <v>0</v>
      </c>
      <c r="K25" s="36">
        <v>0</v>
      </c>
      <c r="L25" s="36">
        <v>0</v>
      </c>
      <c r="M25" s="36">
        <v>0</v>
      </c>
      <c r="N25" s="36">
        <v>0</v>
      </c>
      <c r="O25" s="36">
        <v>0</v>
      </c>
      <c r="P25" s="37"/>
      <c r="Q25" s="37"/>
    </row>
    <row r="26" spans="1:17" s="38" customFormat="1" ht="28.5">
      <c r="A26" s="23">
        <v>107</v>
      </c>
      <c r="B26" s="42" t="s">
        <v>41</v>
      </c>
      <c r="C26" s="36">
        <v>0</v>
      </c>
      <c r="D26" s="36">
        <v>0</v>
      </c>
      <c r="E26" s="36">
        <v>0</v>
      </c>
      <c r="F26" s="36">
        <v>0</v>
      </c>
      <c r="G26" s="36">
        <v>0</v>
      </c>
      <c r="H26" s="36">
        <v>0</v>
      </c>
      <c r="I26" s="36">
        <v>0</v>
      </c>
      <c r="J26" s="36">
        <v>0</v>
      </c>
      <c r="K26" s="36">
        <v>0</v>
      </c>
      <c r="L26" s="36">
        <v>0</v>
      </c>
      <c r="M26" s="36">
        <v>0</v>
      </c>
      <c r="N26" s="36">
        <v>0</v>
      </c>
      <c r="O26" s="36">
        <v>0</v>
      </c>
      <c r="P26" s="37"/>
      <c r="Q26" s="37"/>
    </row>
    <row r="27" spans="1:20" s="38" customFormat="1" ht="21" customHeight="1">
      <c r="A27" s="23">
        <v>110</v>
      </c>
      <c r="B27" s="42" t="s">
        <v>42</v>
      </c>
      <c r="C27" s="23">
        <v>49.44</v>
      </c>
      <c r="D27" s="23">
        <v>71.24</v>
      </c>
      <c r="E27" s="23">
        <v>77.35</v>
      </c>
      <c r="F27" s="23">
        <v>99.37</v>
      </c>
      <c r="G27" s="23">
        <v>88.5</v>
      </c>
      <c r="H27" s="39">
        <v>131</v>
      </c>
      <c r="I27" s="39">
        <v>140</v>
      </c>
      <c r="J27" s="39">
        <f t="shared" si="7"/>
        <v>155.4</v>
      </c>
      <c r="K27" s="39">
        <f t="shared" si="8"/>
        <v>172.494</v>
      </c>
      <c r="L27" s="39">
        <f t="shared" si="9"/>
        <v>191.46834</v>
      </c>
      <c r="M27" s="39">
        <f t="shared" si="10"/>
        <v>212.52985740000003</v>
      </c>
      <c r="N27" s="39">
        <f t="shared" si="11"/>
        <v>235.90814171400004</v>
      </c>
      <c r="O27" s="39">
        <f t="shared" si="12"/>
        <v>261.85803730254</v>
      </c>
      <c r="P27" s="37">
        <v>0.11</v>
      </c>
      <c r="Q27" s="37">
        <f>R27/(C27*100)</f>
        <v>0.009335991678224688</v>
      </c>
      <c r="R27" s="38">
        <f>I27-S27</f>
        <v>46.15714285714286</v>
      </c>
      <c r="S27" s="38">
        <f>T27/7</f>
        <v>93.84285714285714</v>
      </c>
      <c r="T27" s="38">
        <f>SUM(C27:I27)</f>
        <v>656.9</v>
      </c>
    </row>
    <row r="28" spans="1:17" s="38" customFormat="1" ht="20.25" customHeight="1">
      <c r="A28" s="43" t="s">
        <v>233</v>
      </c>
      <c r="B28" s="44"/>
      <c r="C28" s="23"/>
      <c r="D28" s="23"/>
      <c r="E28" s="23"/>
      <c r="F28" s="23"/>
      <c r="G28" s="23"/>
      <c r="H28" s="39"/>
      <c r="I28" s="39"/>
      <c r="J28" s="39"/>
      <c r="K28" s="39"/>
      <c r="L28" s="39"/>
      <c r="M28" s="39"/>
      <c r="N28" s="39"/>
      <c r="O28" s="39"/>
      <c r="P28" s="37"/>
      <c r="Q28" s="37"/>
    </row>
    <row r="29" spans="1:17" s="38" customFormat="1" ht="19.5" customHeight="1">
      <c r="A29" s="23">
        <v>800</v>
      </c>
      <c r="B29" s="42" t="s">
        <v>43</v>
      </c>
      <c r="C29" s="36">
        <v>0</v>
      </c>
      <c r="D29" s="36">
        <v>0</v>
      </c>
      <c r="E29" s="36">
        <v>0</v>
      </c>
      <c r="F29" s="36">
        <v>0</v>
      </c>
      <c r="G29" s="36">
        <v>0</v>
      </c>
      <c r="H29" s="36">
        <v>0</v>
      </c>
      <c r="I29" s="36">
        <v>0</v>
      </c>
      <c r="J29" s="36">
        <v>0</v>
      </c>
      <c r="K29" s="36">
        <v>0</v>
      </c>
      <c r="L29" s="36">
        <v>0</v>
      </c>
      <c r="M29" s="36">
        <v>0</v>
      </c>
      <c r="N29" s="36">
        <v>0</v>
      </c>
      <c r="O29" s="36">
        <v>0</v>
      </c>
      <c r="P29" s="37"/>
      <c r="Q29" s="37"/>
    </row>
    <row r="30" spans="1:20" s="38" customFormat="1" ht="19.5" customHeight="1">
      <c r="A30" s="34" t="s">
        <v>44</v>
      </c>
      <c r="B30" s="42" t="s">
        <v>256</v>
      </c>
      <c r="C30" s="23">
        <v>6.22</v>
      </c>
      <c r="D30" s="23">
        <v>6.94</v>
      </c>
      <c r="E30" s="23">
        <v>7.88</v>
      </c>
      <c r="F30" s="23">
        <v>10.66</v>
      </c>
      <c r="G30" s="23">
        <v>16.56</v>
      </c>
      <c r="H30" s="39">
        <v>15</v>
      </c>
      <c r="I30" s="39">
        <v>16.8</v>
      </c>
      <c r="J30" s="39">
        <f>I30+(I30*P30)</f>
        <v>18.69</v>
      </c>
      <c r="K30" s="39">
        <f>J30+(J30*P30)</f>
        <v>20.792625</v>
      </c>
      <c r="L30" s="39">
        <f>K30+(K30*P30)</f>
        <v>23.131795312500003</v>
      </c>
      <c r="M30" s="39">
        <f>L30+(L30*P30)</f>
        <v>25.734122285156253</v>
      </c>
      <c r="N30" s="39">
        <f>M30+(M30*P30)</f>
        <v>28.62921104223633</v>
      </c>
      <c r="O30" s="39">
        <f>N30+(N30*P30)</f>
        <v>31.84999728448792</v>
      </c>
      <c r="P30" s="37">
        <v>0.1125</v>
      </c>
      <c r="Q30" s="37">
        <f>R30/(C30*100)</f>
        <v>0.008621956821313734</v>
      </c>
      <c r="R30" s="38">
        <f>I30-S30</f>
        <v>5.362857142857143</v>
      </c>
      <c r="S30" s="38">
        <f>T30/7</f>
        <v>11.437142857142858</v>
      </c>
      <c r="T30" s="38">
        <f>SUM(C30:I30)</f>
        <v>80.06</v>
      </c>
    </row>
    <row r="31" spans="1:17" s="38" customFormat="1" ht="28.5">
      <c r="A31" s="34" t="s">
        <v>45</v>
      </c>
      <c r="B31" s="42" t="s">
        <v>46</v>
      </c>
      <c r="C31" s="36">
        <v>0</v>
      </c>
      <c r="D31" s="36">
        <v>0</v>
      </c>
      <c r="E31" s="36">
        <v>0</v>
      </c>
      <c r="F31" s="36">
        <v>0</v>
      </c>
      <c r="G31" s="36">
        <v>0</v>
      </c>
      <c r="H31" s="36">
        <v>0</v>
      </c>
      <c r="I31" s="36">
        <v>0</v>
      </c>
      <c r="J31" s="36">
        <v>0</v>
      </c>
      <c r="K31" s="36">
        <v>0</v>
      </c>
      <c r="L31" s="36">
        <v>0</v>
      </c>
      <c r="M31" s="36">
        <v>0</v>
      </c>
      <c r="N31" s="36">
        <v>0</v>
      </c>
      <c r="O31" s="36">
        <v>0</v>
      </c>
      <c r="P31" s="37"/>
      <c r="Q31" s="37"/>
    </row>
    <row r="32" spans="1:17" s="38" customFormat="1" ht="28.5">
      <c r="A32" s="34" t="s">
        <v>47</v>
      </c>
      <c r="B32" s="42" t="s">
        <v>234</v>
      </c>
      <c r="C32" s="36">
        <v>0</v>
      </c>
      <c r="D32" s="36">
        <v>0</v>
      </c>
      <c r="E32" s="36">
        <v>0</v>
      </c>
      <c r="F32" s="36">
        <v>0</v>
      </c>
      <c r="G32" s="36">
        <v>0</v>
      </c>
      <c r="H32" s="36">
        <v>0</v>
      </c>
      <c r="I32" s="36">
        <v>0</v>
      </c>
      <c r="J32" s="36">
        <v>0</v>
      </c>
      <c r="K32" s="36">
        <v>0</v>
      </c>
      <c r="L32" s="36">
        <v>0</v>
      </c>
      <c r="M32" s="36">
        <v>0</v>
      </c>
      <c r="N32" s="36">
        <v>0</v>
      </c>
      <c r="O32" s="36">
        <v>0</v>
      </c>
      <c r="P32" s="37"/>
      <c r="Q32" s="37"/>
    </row>
    <row r="33" spans="1:17" s="38" customFormat="1" ht="42.75">
      <c r="A33" s="23">
        <v>101</v>
      </c>
      <c r="B33" s="42" t="s">
        <v>48</v>
      </c>
      <c r="C33" s="36">
        <v>0</v>
      </c>
      <c r="D33" s="36">
        <v>0</v>
      </c>
      <c r="E33" s="36">
        <v>0</v>
      </c>
      <c r="F33" s="36">
        <v>0</v>
      </c>
      <c r="G33" s="36">
        <v>0</v>
      </c>
      <c r="H33" s="36">
        <v>0</v>
      </c>
      <c r="I33" s="36">
        <v>0</v>
      </c>
      <c r="J33" s="36">
        <v>0</v>
      </c>
      <c r="K33" s="36">
        <v>0</v>
      </c>
      <c r="L33" s="36">
        <v>0</v>
      </c>
      <c r="M33" s="36">
        <v>0</v>
      </c>
      <c r="N33" s="36">
        <v>0</v>
      </c>
      <c r="O33" s="36">
        <v>0</v>
      </c>
      <c r="P33" s="37"/>
      <c r="Q33" s="37"/>
    </row>
    <row r="34" spans="1:20" s="38" customFormat="1" ht="57">
      <c r="A34" s="34" t="s">
        <v>49</v>
      </c>
      <c r="B34" s="35" t="s">
        <v>235</v>
      </c>
      <c r="C34" s="45">
        <v>16.25</v>
      </c>
      <c r="D34" s="46">
        <v>22.18</v>
      </c>
      <c r="E34" s="46">
        <v>27.39</v>
      </c>
      <c r="F34" s="46">
        <v>37.52</v>
      </c>
      <c r="G34" s="46">
        <v>39.17</v>
      </c>
      <c r="H34" s="46">
        <v>37.43</v>
      </c>
      <c r="I34" s="46">
        <v>53.4</v>
      </c>
      <c r="J34" s="39">
        <f>I34+(I34*P34)</f>
        <v>63.779635814326035</v>
      </c>
      <c r="K34" s="39">
        <f>J34+(J34*P34)</f>
        <v>76.1768154420985</v>
      </c>
      <c r="L34" s="39">
        <f>K34+(K34*P34)</f>
        <v>90.9836993706399</v>
      </c>
      <c r="M34" s="39">
        <f>L34+(L34*P34)</f>
        <v>108.66867436141456</v>
      </c>
      <c r="N34" s="39">
        <f>M34+(M34*P34)</f>
        <v>129.79116994750206</v>
      </c>
      <c r="O34" s="39">
        <f>N34+(N34*P34)</f>
        <v>155.0193548907674</v>
      </c>
      <c r="P34" s="37">
        <f>(LOGEST(C34:I34)*100-100)/100</f>
        <v>0.19437520251546886</v>
      </c>
      <c r="Q34" s="37">
        <f>R34/(C34*100)</f>
        <v>0.012348131868131869</v>
      </c>
      <c r="R34" s="38">
        <f>I34-S34</f>
        <v>20.065714285714286</v>
      </c>
      <c r="S34" s="38">
        <f>T34/7</f>
        <v>33.33428571428571</v>
      </c>
      <c r="T34" s="38">
        <f>SUM(C34:I34)</f>
        <v>233.34</v>
      </c>
    </row>
    <row r="35" spans="1:20" s="38" customFormat="1" ht="19.5" customHeight="1">
      <c r="A35" s="23">
        <v>101</v>
      </c>
      <c r="B35" s="35" t="s">
        <v>257</v>
      </c>
      <c r="C35" s="23">
        <v>0.56</v>
      </c>
      <c r="D35" s="46">
        <v>0.57</v>
      </c>
      <c r="E35" s="23">
        <v>0.61</v>
      </c>
      <c r="F35" s="23">
        <v>0.66</v>
      </c>
      <c r="G35" s="23">
        <v>0.71</v>
      </c>
      <c r="H35" s="39">
        <v>0.76</v>
      </c>
      <c r="I35" s="39">
        <v>0.76</v>
      </c>
      <c r="J35" s="39">
        <f>I35+(I35*P35)</f>
        <v>0.805939162194762</v>
      </c>
      <c r="K35" s="39">
        <f>J35+(J35*P35)</f>
        <v>0.854655175209467</v>
      </c>
      <c r="L35" s="39">
        <f>K35+(K35*P35)</f>
        <v>0.9063158893075465</v>
      </c>
      <c r="M35" s="39">
        <f>L35+(L35*P35)</f>
        <v>0.9610993006741114</v>
      </c>
      <c r="N35" s="39">
        <f>M35+(M35*P35)</f>
        <v>1.019194164699033</v>
      </c>
      <c r="O35" s="39">
        <f>N35+(N35*P35)</f>
        <v>1.080800646330696</v>
      </c>
      <c r="P35" s="37">
        <f>(LOGEST(C35:I35)*100-100)/100</f>
        <v>0.060446266045739494</v>
      </c>
      <c r="Q35" s="37">
        <f>R35/(C35*100)</f>
        <v>0.0017602040816326542</v>
      </c>
      <c r="R35" s="38">
        <f>I35-S35</f>
        <v>0.09857142857142864</v>
      </c>
      <c r="S35" s="38">
        <f>T35/7</f>
        <v>0.6614285714285714</v>
      </c>
      <c r="T35" s="38">
        <f>SUM(C35:I35)</f>
        <v>4.63</v>
      </c>
    </row>
    <row r="36" spans="1:17" s="38" customFormat="1" ht="19.5" customHeight="1">
      <c r="A36" s="23">
        <v>102</v>
      </c>
      <c r="B36" s="35" t="s">
        <v>50</v>
      </c>
      <c r="C36" s="36">
        <v>0</v>
      </c>
      <c r="D36" s="36">
        <v>0</v>
      </c>
      <c r="E36" s="36">
        <v>0</v>
      </c>
      <c r="F36" s="36">
        <v>0</v>
      </c>
      <c r="G36" s="36">
        <v>0</v>
      </c>
      <c r="H36" s="36">
        <v>0</v>
      </c>
      <c r="I36" s="36">
        <v>0</v>
      </c>
      <c r="J36" s="36">
        <v>0</v>
      </c>
      <c r="K36" s="36">
        <v>0</v>
      </c>
      <c r="L36" s="36">
        <v>0</v>
      </c>
      <c r="M36" s="36">
        <v>0</v>
      </c>
      <c r="N36" s="36">
        <v>0</v>
      </c>
      <c r="O36" s="36">
        <v>0</v>
      </c>
      <c r="P36" s="37"/>
      <c r="Q36" s="37"/>
    </row>
    <row r="37" spans="1:17" s="38" customFormat="1" ht="19.5" customHeight="1">
      <c r="A37" s="23">
        <v>105</v>
      </c>
      <c r="B37" s="35" t="s">
        <v>51</v>
      </c>
      <c r="C37" s="36">
        <v>0</v>
      </c>
      <c r="D37" s="36">
        <v>0</v>
      </c>
      <c r="E37" s="36">
        <v>0</v>
      </c>
      <c r="F37" s="36">
        <v>0</v>
      </c>
      <c r="G37" s="36">
        <v>0</v>
      </c>
      <c r="H37" s="36">
        <v>0</v>
      </c>
      <c r="I37" s="36">
        <v>0</v>
      </c>
      <c r="J37" s="36">
        <v>0</v>
      </c>
      <c r="K37" s="36">
        <v>0</v>
      </c>
      <c r="L37" s="36">
        <v>0</v>
      </c>
      <c r="M37" s="36">
        <v>0</v>
      </c>
      <c r="N37" s="36">
        <v>0</v>
      </c>
      <c r="O37" s="36">
        <v>0</v>
      </c>
      <c r="P37" s="37"/>
      <c r="Q37" s="37"/>
    </row>
    <row r="38" spans="1:17" s="27" customFormat="1" ht="45">
      <c r="A38" s="32" t="s">
        <v>52</v>
      </c>
      <c r="B38" s="33" t="s">
        <v>53</v>
      </c>
      <c r="C38" s="32">
        <f>St2a!C18</f>
        <v>393.38</v>
      </c>
      <c r="D38" s="32">
        <f>St2a!D18</f>
        <v>378.78999999999996</v>
      </c>
      <c r="E38" s="32">
        <f>St2a!E18</f>
        <v>375.39</v>
      </c>
      <c r="F38" s="32">
        <f>St2a!F18</f>
        <v>525.64</v>
      </c>
      <c r="G38" s="32">
        <f>St2a!G18</f>
        <v>611.6300000000001</v>
      </c>
      <c r="H38" s="32">
        <f>St2a!H18</f>
        <v>698.48</v>
      </c>
      <c r="I38" s="32">
        <f>St2a!I18</f>
        <v>831.5600000000002</v>
      </c>
      <c r="J38" s="32">
        <f>St2a!J18</f>
        <v>0</v>
      </c>
      <c r="K38" s="32">
        <f>St2a!K18</f>
        <v>0</v>
      </c>
      <c r="L38" s="32">
        <f>St2a!L18</f>
        <v>0</v>
      </c>
      <c r="M38" s="32">
        <f>St2a!M18</f>
        <v>0</v>
      </c>
      <c r="N38" s="32">
        <f>St2a!N18</f>
        <v>0</v>
      </c>
      <c r="O38" s="32">
        <f>St2a!O18</f>
        <v>0</v>
      </c>
      <c r="P38" s="26"/>
      <c r="Q38" s="26"/>
    </row>
    <row r="39" spans="1:17" s="38" customFormat="1" ht="42.75">
      <c r="A39" s="47" t="s">
        <v>54</v>
      </c>
      <c r="B39" s="35" t="s">
        <v>55</v>
      </c>
      <c r="C39" s="32">
        <v>0</v>
      </c>
      <c r="D39" s="32">
        <v>21.94</v>
      </c>
      <c r="E39" s="32">
        <v>0</v>
      </c>
      <c r="F39" s="32">
        <v>0</v>
      </c>
      <c r="G39" s="32">
        <v>0</v>
      </c>
      <c r="H39" s="32">
        <v>0</v>
      </c>
      <c r="I39" s="32">
        <v>0</v>
      </c>
      <c r="J39" s="32">
        <v>0</v>
      </c>
      <c r="K39" s="32">
        <v>0</v>
      </c>
      <c r="L39" s="32">
        <v>0</v>
      </c>
      <c r="M39" s="32">
        <v>0</v>
      </c>
      <c r="N39" s="32">
        <v>0</v>
      </c>
      <c r="O39" s="32">
        <v>0</v>
      </c>
      <c r="P39" s="37"/>
      <c r="Q39" s="37"/>
    </row>
    <row r="40" spans="1:17" s="27" customFormat="1" ht="30">
      <c r="A40" s="32" t="s">
        <v>56</v>
      </c>
      <c r="B40" s="33" t="s">
        <v>57</v>
      </c>
      <c r="C40" s="32">
        <f>C41+C42+C48+C45</f>
        <v>1413.74</v>
      </c>
      <c r="D40" s="32">
        <f aca="true" t="shared" si="13" ref="D40:K40">D41+D42+D48+D45</f>
        <v>1205.31</v>
      </c>
      <c r="E40" s="32">
        <f t="shared" si="13"/>
        <v>1356.4399999999998</v>
      </c>
      <c r="F40" s="32">
        <f t="shared" si="13"/>
        <v>1137.76</v>
      </c>
      <c r="G40" s="32">
        <f t="shared" si="13"/>
        <v>1044.5600000000002</v>
      </c>
      <c r="H40" s="32">
        <f t="shared" si="13"/>
        <v>1026.24</v>
      </c>
      <c r="I40" s="32">
        <f t="shared" si="13"/>
        <v>1054.5199999999998</v>
      </c>
      <c r="J40" s="32">
        <f t="shared" si="13"/>
        <v>1031.1579001637915</v>
      </c>
      <c r="K40" s="32">
        <f t="shared" si="13"/>
        <v>1049.6858531152457</v>
      </c>
      <c r="L40" s="32">
        <f>L41+L42+L48+L45</f>
        <v>1071.0619073574157</v>
      </c>
      <c r="M40" s="32">
        <f>M41+M42+M48+M45</f>
        <v>1121.355310552297</v>
      </c>
      <c r="N40" s="32">
        <f>N41+N42+N48+N45</f>
        <v>1198.807307915458</v>
      </c>
      <c r="O40" s="32">
        <f>O41+O42+O48+O45</f>
        <v>1252.792944767028</v>
      </c>
      <c r="P40" s="26"/>
      <c r="Q40" s="26"/>
    </row>
    <row r="41" spans="1:17" s="38" customFormat="1" ht="19.5" customHeight="1">
      <c r="A41" s="32" t="s">
        <v>236</v>
      </c>
      <c r="B41" s="35" t="s">
        <v>212</v>
      </c>
      <c r="C41" s="36">
        <v>0</v>
      </c>
      <c r="D41" s="36">
        <v>0</v>
      </c>
      <c r="E41" s="36">
        <v>0</v>
      </c>
      <c r="F41" s="36">
        <v>0</v>
      </c>
      <c r="G41" s="36">
        <v>0</v>
      </c>
      <c r="H41" s="36">
        <v>0</v>
      </c>
      <c r="I41" s="36">
        <v>0</v>
      </c>
      <c r="J41" s="36"/>
      <c r="K41" s="36"/>
      <c r="L41" s="36"/>
      <c r="M41" s="36"/>
      <c r="N41" s="36"/>
      <c r="O41" s="36"/>
      <c r="P41" s="37"/>
      <c r="Q41" s="37"/>
    </row>
    <row r="42" spans="1:17" s="38" customFormat="1" ht="28.5">
      <c r="A42" s="32" t="s">
        <v>237</v>
      </c>
      <c r="B42" s="35" t="s">
        <v>238</v>
      </c>
      <c r="C42" s="23">
        <v>15.1</v>
      </c>
      <c r="D42" s="23">
        <v>25.94</v>
      </c>
      <c r="E42" s="23">
        <v>44.18</v>
      </c>
      <c r="F42" s="23">
        <v>28.14</v>
      </c>
      <c r="G42" s="23">
        <v>29.39</v>
      </c>
      <c r="H42" s="39">
        <v>21.15</v>
      </c>
      <c r="I42" s="39">
        <v>28.85</v>
      </c>
      <c r="J42" s="39">
        <f aca="true" t="shared" si="14" ref="J42:O42">I42</f>
        <v>28.85</v>
      </c>
      <c r="K42" s="39">
        <f t="shared" si="14"/>
        <v>28.85</v>
      </c>
      <c r="L42" s="39">
        <f t="shared" si="14"/>
        <v>28.85</v>
      </c>
      <c r="M42" s="39">
        <f t="shared" si="14"/>
        <v>28.85</v>
      </c>
      <c r="N42" s="39">
        <f t="shared" si="14"/>
        <v>28.85</v>
      </c>
      <c r="O42" s="39">
        <f t="shared" si="14"/>
        <v>28.85</v>
      </c>
      <c r="P42" s="37"/>
      <c r="Q42" s="37"/>
    </row>
    <row r="43" spans="1:17" s="38" customFormat="1" ht="42.75">
      <c r="A43" s="23">
        <v>103</v>
      </c>
      <c r="B43" s="35" t="s">
        <v>58</v>
      </c>
      <c r="C43" s="36">
        <v>0</v>
      </c>
      <c r="D43" s="36">
        <v>0</v>
      </c>
      <c r="E43" s="36">
        <v>0</v>
      </c>
      <c r="F43" s="36">
        <v>0</v>
      </c>
      <c r="G43" s="36">
        <v>0</v>
      </c>
      <c r="H43" s="36">
        <v>0</v>
      </c>
      <c r="I43" s="36">
        <v>0</v>
      </c>
      <c r="J43" s="36"/>
      <c r="K43" s="36"/>
      <c r="L43" s="36"/>
      <c r="M43" s="36"/>
      <c r="N43" s="36"/>
      <c r="O43" s="36"/>
      <c r="P43" s="37"/>
      <c r="Q43" s="37"/>
    </row>
    <row r="44" spans="1:17" s="38" customFormat="1" ht="42.75">
      <c r="A44" s="23">
        <v>190</v>
      </c>
      <c r="B44" s="35" t="s">
        <v>59</v>
      </c>
      <c r="C44" s="36">
        <v>0</v>
      </c>
      <c r="D44" s="36">
        <v>0</v>
      </c>
      <c r="E44" s="36">
        <v>0</v>
      </c>
      <c r="F44" s="36">
        <v>0</v>
      </c>
      <c r="G44" s="36">
        <v>0</v>
      </c>
      <c r="H44" s="36">
        <v>0</v>
      </c>
      <c r="I44" s="36">
        <v>0</v>
      </c>
      <c r="J44" s="36"/>
      <c r="K44" s="36"/>
      <c r="L44" s="36"/>
      <c r="M44" s="36"/>
      <c r="N44" s="36"/>
      <c r="O44" s="36"/>
      <c r="P44" s="37"/>
      <c r="Q44" s="37"/>
    </row>
    <row r="45" spans="1:17" s="38" customFormat="1" ht="28.5">
      <c r="A45" s="34" t="s">
        <v>60</v>
      </c>
      <c r="B45" s="35" t="s">
        <v>239</v>
      </c>
      <c r="C45" s="23">
        <v>0.68</v>
      </c>
      <c r="D45" s="23">
        <v>1.31</v>
      </c>
      <c r="E45" s="23">
        <v>0.46</v>
      </c>
      <c r="F45" s="23">
        <v>2.37</v>
      </c>
      <c r="G45" s="23">
        <v>0</v>
      </c>
      <c r="H45" s="39">
        <v>0.43</v>
      </c>
      <c r="I45" s="39">
        <v>1</v>
      </c>
      <c r="J45" s="39">
        <f>I45</f>
        <v>1</v>
      </c>
      <c r="K45" s="39">
        <f aca="true" t="shared" si="15" ref="K45:O46">J45</f>
        <v>1</v>
      </c>
      <c r="L45" s="39">
        <f t="shared" si="15"/>
        <v>1</v>
      </c>
      <c r="M45" s="39">
        <f t="shared" si="15"/>
        <v>1</v>
      </c>
      <c r="N45" s="39">
        <f t="shared" si="15"/>
        <v>1</v>
      </c>
      <c r="O45" s="39">
        <f t="shared" si="15"/>
        <v>1</v>
      </c>
      <c r="P45" s="37"/>
      <c r="Q45" s="37"/>
    </row>
    <row r="46" spans="1:17" s="38" customFormat="1" ht="19.5" customHeight="1">
      <c r="A46" s="23">
        <v>101</v>
      </c>
      <c r="B46" s="35" t="s">
        <v>61</v>
      </c>
      <c r="C46" s="23">
        <v>0.68</v>
      </c>
      <c r="D46" s="23">
        <v>1.31</v>
      </c>
      <c r="E46" s="23">
        <v>0.46</v>
      </c>
      <c r="F46" s="23">
        <v>2.37</v>
      </c>
      <c r="G46" s="23">
        <v>0</v>
      </c>
      <c r="H46" s="39">
        <v>0</v>
      </c>
      <c r="I46" s="39">
        <v>0</v>
      </c>
      <c r="J46" s="39">
        <f>I46</f>
        <v>0</v>
      </c>
      <c r="K46" s="39">
        <f t="shared" si="15"/>
        <v>0</v>
      </c>
      <c r="L46" s="39">
        <f t="shared" si="15"/>
        <v>0</v>
      </c>
      <c r="M46" s="39">
        <f t="shared" si="15"/>
        <v>0</v>
      </c>
      <c r="N46" s="39">
        <f t="shared" si="15"/>
        <v>0</v>
      </c>
      <c r="O46" s="39">
        <f t="shared" si="15"/>
        <v>0</v>
      </c>
      <c r="P46" s="37"/>
      <c r="Q46" s="37"/>
    </row>
    <row r="47" spans="1:17" s="38" customFormat="1" ht="42.75">
      <c r="A47" s="23"/>
      <c r="B47" s="35" t="s">
        <v>62</v>
      </c>
      <c r="C47" s="23"/>
      <c r="D47" s="23"/>
      <c r="E47" s="23"/>
      <c r="F47" s="23"/>
      <c r="G47" s="23"/>
      <c r="H47" s="39"/>
      <c r="I47" s="39"/>
      <c r="J47" s="39"/>
      <c r="K47" s="39"/>
      <c r="L47" s="39"/>
      <c r="M47" s="39"/>
      <c r="N47" s="39"/>
      <c r="O47" s="39"/>
      <c r="P47" s="37"/>
      <c r="Q47" s="37"/>
    </row>
    <row r="48" spans="1:17" s="38" customFormat="1" ht="28.5">
      <c r="A48" s="32" t="s">
        <v>63</v>
      </c>
      <c r="B48" s="35" t="s">
        <v>64</v>
      </c>
      <c r="C48" s="32">
        <f aca="true" t="shared" si="16" ref="C48:O48">C51+C68+C91</f>
        <v>1397.96</v>
      </c>
      <c r="D48" s="32">
        <f t="shared" si="16"/>
        <v>1178.06</v>
      </c>
      <c r="E48" s="32">
        <f t="shared" si="16"/>
        <v>1311.7999999999997</v>
      </c>
      <c r="F48" s="32">
        <f t="shared" si="16"/>
        <v>1107.25</v>
      </c>
      <c r="G48" s="32">
        <f t="shared" si="16"/>
        <v>1015.1700000000001</v>
      </c>
      <c r="H48" s="32">
        <f t="shared" si="16"/>
        <v>1004.66</v>
      </c>
      <c r="I48" s="32">
        <f t="shared" si="16"/>
        <v>1024.6699999999998</v>
      </c>
      <c r="J48" s="32">
        <f t="shared" si="16"/>
        <v>1001.3079001637915</v>
      </c>
      <c r="K48" s="32">
        <f t="shared" si="16"/>
        <v>1019.8358531152458</v>
      </c>
      <c r="L48" s="32">
        <f t="shared" si="16"/>
        <v>1041.2119073574158</v>
      </c>
      <c r="M48" s="32">
        <f t="shared" si="16"/>
        <v>1091.505310552297</v>
      </c>
      <c r="N48" s="32">
        <f t="shared" si="16"/>
        <v>1168.9573079154582</v>
      </c>
      <c r="O48" s="32">
        <f t="shared" si="16"/>
        <v>1222.9429447670282</v>
      </c>
      <c r="P48" s="37"/>
      <c r="Q48" s="37"/>
    </row>
    <row r="49" spans="1:17" s="38" customFormat="1" ht="19.5" customHeight="1">
      <c r="A49" s="43" t="s">
        <v>229</v>
      </c>
      <c r="B49" s="44"/>
      <c r="C49" s="43"/>
      <c r="D49" s="43"/>
      <c r="E49" s="43"/>
      <c r="F49" s="43"/>
      <c r="G49" s="23"/>
      <c r="H49" s="48"/>
      <c r="I49" s="48"/>
      <c r="J49" s="48"/>
      <c r="K49" s="48"/>
      <c r="L49" s="48"/>
      <c r="M49" s="48"/>
      <c r="N49" s="48"/>
      <c r="O49" s="48"/>
      <c r="P49" s="37"/>
      <c r="Q49" s="37"/>
    </row>
    <row r="50" spans="1:17" s="38" customFormat="1" ht="19.5" customHeight="1">
      <c r="A50" s="43" t="s">
        <v>65</v>
      </c>
      <c r="B50" s="44"/>
      <c r="C50" s="39"/>
      <c r="D50" s="39"/>
      <c r="E50" s="39"/>
      <c r="F50" s="39"/>
      <c r="G50" s="23"/>
      <c r="H50" s="48"/>
      <c r="I50" s="48"/>
      <c r="J50" s="48"/>
      <c r="K50" s="48"/>
      <c r="L50" s="48"/>
      <c r="M50" s="48"/>
      <c r="N50" s="48"/>
      <c r="O50" s="48"/>
      <c r="P50" s="37"/>
      <c r="Q50" s="37"/>
    </row>
    <row r="51" spans="1:17" s="38" customFormat="1" ht="19.5" customHeight="1">
      <c r="A51" s="32" t="s">
        <v>66</v>
      </c>
      <c r="B51" s="35" t="s">
        <v>67</v>
      </c>
      <c r="C51" s="32">
        <f>SUM(C52+C53+C54+C55+C56+C57+C58+C61+C63)</f>
        <v>1260.33</v>
      </c>
      <c r="D51" s="32">
        <f aca="true" t="shared" si="17" ref="D51:O51">SUM(D52+D53+D54+D55+D56+D57+D58+D61+D63)</f>
        <v>977.96</v>
      </c>
      <c r="E51" s="32">
        <f t="shared" si="17"/>
        <v>980.2099999999999</v>
      </c>
      <c r="F51" s="32">
        <f t="shared" si="17"/>
        <v>964.99</v>
      </c>
      <c r="G51" s="32">
        <f t="shared" si="17"/>
        <v>875.71</v>
      </c>
      <c r="H51" s="32">
        <f t="shared" si="17"/>
        <v>840.34</v>
      </c>
      <c r="I51" s="32">
        <f t="shared" si="17"/>
        <v>841.9499999999999</v>
      </c>
      <c r="J51" s="32">
        <f t="shared" si="17"/>
        <v>842.574897062089</v>
      </c>
      <c r="K51" s="32">
        <f t="shared" si="17"/>
        <v>850.4364196876336</v>
      </c>
      <c r="L51" s="32">
        <f t="shared" si="17"/>
        <v>859.3893073177545</v>
      </c>
      <c r="M51" s="32">
        <f t="shared" si="17"/>
        <v>869.6287878729656</v>
      </c>
      <c r="N51" s="32">
        <f t="shared" si="17"/>
        <v>881.2906281938092</v>
      </c>
      <c r="O51" s="32">
        <f t="shared" si="17"/>
        <v>894.6201567854876</v>
      </c>
      <c r="P51" s="37"/>
      <c r="Q51" s="37"/>
    </row>
    <row r="52" spans="1:17" s="38" customFormat="1" ht="28.5">
      <c r="A52" s="34" t="s">
        <v>68</v>
      </c>
      <c r="B52" s="35" t="s">
        <v>213</v>
      </c>
      <c r="C52" s="23">
        <v>0.01</v>
      </c>
      <c r="D52" s="23">
        <v>0.05</v>
      </c>
      <c r="E52" s="23">
        <v>0</v>
      </c>
      <c r="F52" s="23">
        <v>0.09</v>
      </c>
      <c r="G52" s="23">
        <v>0.09</v>
      </c>
      <c r="H52" s="39">
        <v>0.06</v>
      </c>
      <c r="I52" s="39">
        <v>0.08</v>
      </c>
      <c r="J52" s="39">
        <f>I52</f>
        <v>0.08</v>
      </c>
      <c r="K52" s="39">
        <f aca="true" t="shared" si="18" ref="K52:O54">J52</f>
        <v>0.08</v>
      </c>
      <c r="L52" s="39">
        <f t="shared" si="18"/>
        <v>0.08</v>
      </c>
      <c r="M52" s="39">
        <f t="shared" si="18"/>
        <v>0.08</v>
      </c>
      <c r="N52" s="39">
        <f t="shared" si="18"/>
        <v>0.08</v>
      </c>
      <c r="O52" s="39">
        <f t="shared" si="18"/>
        <v>0.08</v>
      </c>
      <c r="P52" s="37"/>
      <c r="Q52" s="37"/>
    </row>
    <row r="53" spans="1:17" s="38" customFormat="1" ht="19.5" customHeight="1">
      <c r="A53" s="34" t="s">
        <v>69</v>
      </c>
      <c r="B53" s="35" t="s">
        <v>214</v>
      </c>
      <c r="C53" s="23">
        <v>14.64</v>
      </c>
      <c r="D53" s="23">
        <v>11.68</v>
      </c>
      <c r="E53" s="23">
        <v>14.52</v>
      </c>
      <c r="F53" s="23">
        <v>9.57</v>
      </c>
      <c r="G53" s="23">
        <v>12.89</v>
      </c>
      <c r="H53" s="39">
        <v>44.89</v>
      </c>
      <c r="I53" s="39">
        <v>50.29</v>
      </c>
      <c r="J53" s="39">
        <f>I53</f>
        <v>50.29</v>
      </c>
      <c r="K53" s="39">
        <f t="shared" si="18"/>
        <v>50.29</v>
      </c>
      <c r="L53" s="39">
        <f t="shared" si="18"/>
        <v>50.29</v>
      </c>
      <c r="M53" s="39">
        <f t="shared" si="18"/>
        <v>50.29</v>
      </c>
      <c r="N53" s="39">
        <f t="shared" si="18"/>
        <v>50.29</v>
      </c>
      <c r="O53" s="39">
        <f t="shared" si="18"/>
        <v>50.29</v>
      </c>
      <c r="P53" s="37"/>
      <c r="Q53" s="37"/>
    </row>
    <row r="54" spans="1:17" s="38" customFormat="1" ht="19.5" customHeight="1">
      <c r="A54" s="34" t="s">
        <v>70</v>
      </c>
      <c r="B54" s="35" t="s">
        <v>258</v>
      </c>
      <c r="C54" s="36">
        <v>0</v>
      </c>
      <c r="D54" s="36">
        <v>0</v>
      </c>
      <c r="E54" s="36">
        <v>0</v>
      </c>
      <c r="F54" s="36">
        <v>0.03</v>
      </c>
      <c r="G54" s="36">
        <v>0</v>
      </c>
      <c r="H54" s="36">
        <v>0.03</v>
      </c>
      <c r="I54" s="36">
        <v>0.03</v>
      </c>
      <c r="J54" s="36">
        <f>I54</f>
        <v>0.03</v>
      </c>
      <c r="K54" s="36">
        <f t="shared" si="18"/>
        <v>0.03</v>
      </c>
      <c r="L54" s="36">
        <f t="shared" si="18"/>
        <v>0.03</v>
      </c>
      <c r="M54" s="36">
        <f t="shared" si="18"/>
        <v>0.03</v>
      </c>
      <c r="N54" s="36">
        <f t="shared" si="18"/>
        <v>0.03</v>
      </c>
      <c r="O54" s="36">
        <f t="shared" si="18"/>
        <v>0.03</v>
      </c>
      <c r="P54" s="37"/>
      <c r="Q54" s="37"/>
    </row>
    <row r="55" spans="1:17" s="38" customFormat="1" ht="28.5">
      <c r="A55" s="34" t="s">
        <v>71</v>
      </c>
      <c r="B55" s="35" t="s">
        <v>72</v>
      </c>
      <c r="C55" s="36">
        <v>0</v>
      </c>
      <c r="D55" s="36">
        <v>0</v>
      </c>
      <c r="E55" s="36">
        <v>0</v>
      </c>
      <c r="F55" s="36">
        <v>0</v>
      </c>
      <c r="G55" s="36">
        <v>0</v>
      </c>
      <c r="H55" s="36">
        <v>0</v>
      </c>
      <c r="I55" s="36">
        <v>0</v>
      </c>
      <c r="J55" s="36">
        <v>0</v>
      </c>
      <c r="K55" s="36">
        <v>0</v>
      </c>
      <c r="L55" s="36">
        <v>0</v>
      </c>
      <c r="M55" s="36">
        <v>0</v>
      </c>
      <c r="N55" s="36">
        <v>0</v>
      </c>
      <c r="O55" s="36">
        <v>0</v>
      </c>
      <c r="P55" s="37"/>
      <c r="Q55" s="37"/>
    </row>
    <row r="56" spans="1:20" s="38" customFormat="1" ht="28.5">
      <c r="A56" s="34" t="s">
        <v>73</v>
      </c>
      <c r="B56" s="35" t="s">
        <v>259</v>
      </c>
      <c r="C56" s="23">
        <v>1.98</v>
      </c>
      <c r="D56" s="23">
        <v>1.5</v>
      </c>
      <c r="E56" s="23">
        <v>2.27</v>
      </c>
      <c r="F56" s="23">
        <v>1.52</v>
      </c>
      <c r="G56" s="23">
        <v>1.92</v>
      </c>
      <c r="H56" s="39">
        <v>1.51</v>
      </c>
      <c r="I56" s="39">
        <v>1.81</v>
      </c>
      <c r="J56" s="39">
        <v>1.81</v>
      </c>
      <c r="K56" s="39">
        <v>1.81</v>
      </c>
      <c r="L56" s="39">
        <v>1.81</v>
      </c>
      <c r="M56" s="39">
        <v>1.81</v>
      </c>
      <c r="N56" s="39">
        <v>1.81</v>
      </c>
      <c r="O56" s="39">
        <v>1.81</v>
      </c>
      <c r="P56" s="37">
        <v>0</v>
      </c>
      <c r="Q56" s="37">
        <f aca="true" t="shared" si="19" ref="Q56:Q64">R56/(C56*100)</f>
        <v>0.0001154401154401157</v>
      </c>
      <c r="R56" s="38">
        <f aca="true" t="shared" si="20" ref="R56:R64">I56-S56</f>
        <v>0.02285714285714291</v>
      </c>
      <c r="S56" s="38">
        <f aca="true" t="shared" si="21" ref="S56:S64">T56/7</f>
        <v>1.7871428571428571</v>
      </c>
      <c r="T56" s="38">
        <f aca="true" t="shared" si="22" ref="T56:T64">SUM(C56:I56)</f>
        <v>12.51</v>
      </c>
    </row>
    <row r="57" spans="1:20" s="38" customFormat="1" ht="19.5" customHeight="1">
      <c r="A57" s="34" t="s">
        <v>74</v>
      </c>
      <c r="B57" s="35" t="s">
        <v>215</v>
      </c>
      <c r="C57" s="23">
        <v>4.32</v>
      </c>
      <c r="D57" s="23">
        <v>4.97</v>
      </c>
      <c r="E57" s="23">
        <v>2.89</v>
      </c>
      <c r="F57" s="23">
        <v>3.48</v>
      </c>
      <c r="G57" s="23">
        <v>5.38</v>
      </c>
      <c r="H57" s="39">
        <v>4.21</v>
      </c>
      <c r="I57" s="39">
        <v>4.46</v>
      </c>
      <c r="J57" s="39">
        <f>I57+(I57*P57)</f>
        <v>4.52178045568601</v>
      </c>
      <c r="K57" s="39">
        <f>J57+(J57*P57)</f>
        <v>4.58441670166457</v>
      </c>
      <c r="L57" s="39">
        <f>K57+(K57*P57)</f>
        <v>4.6479205924456</v>
      </c>
      <c r="M57" s="39">
        <f>L57+(L57*P57)</f>
        <v>4.712304146749116</v>
      </c>
      <c r="N57" s="39">
        <f>M57+(M57*P57)</f>
        <v>4.777579549779886</v>
      </c>
      <c r="O57" s="39">
        <f>N57+(N57*P57)</f>
        <v>4.8437591555336</v>
      </c>
      <c r="P57" s="37">
        <f>(LOGEST(C57:I57)*100-100)/100</f>
        <v>0.013852120108970922</v>
      </c>
      <c r="Q57" s="37">
        <f t="shared" si="19"/>
        <v>0.0004993386243386234</v>
      </c>
      <c r="R57" s="38">
        <f t="shared" si="20"/>
        <v>0.2157142857142853</v>
      </c>
      <c r="S57" s="38">
        <f t="shared" si="21"/>
        <v>4.244285714285715</v>
      </c>
      <c r="T57" s="38">
        <f t="shared" si="22"/>
        <v>29.71</v>
      </c>
    </row>
    <row r="58" spans="1:20" s="38" customFormat="1" ht="36.75" customHeight="1">
      <c r="A58" s="34" t="s">
        <v>75</v>
      </c>
      <c r="B58" s="35" t="s">
        <v>240</v>
      </c>
      <c r="C58" s="23">
        <v>2.59</v>
      </c>
      <c r="D58" s="23">
        <v>2.55</v>
      </c>
      <c r="E58" s="23">
        <v>4.42</v>
      </c>
      <c r="F58" s="23">
        <v>4.72</v>
      </c>
      <c r="G58" s="23">
        <v>6.69</v>
      </c>
      <c r="H58" s="39">
        <v>3.85</v>
      </c>
      <c r="I58" s="39">
        <v>4.29</v>
      </c>
      <c r="J58" s="39">
        <f>I58+(I58*P58)</f>
        <v>4.73311660640291</v>
      </c>
      <c r="K58" s="39">
        <f>J58+(J58*P58)</f>
        <v>5.222002985968997</v>
      </c>
      <c r="L58" s="39">
        <f>K58+(K58*P58)</f>
        <v>5.76138672530896</v>
      </c>
      <c r="M58" s="39">
        <f>L58+(L58*P58)</f>
        <v>6.356483726216577</v>
      </c>
      <c r="N58" s="39">
        <f>M58+(M58*P58)-0.01</f>
        <v>7.003048644029261</v>
      </c>
      <c r="O58" s="39">
        <f>N58+(N58*P58)</f>
        <v>7.72639762995391</v>
      </c>
      <c r="P58" s="37">
        <f>(LOGEST(C58:I58)*100-100)/100</f>
        <v>0.10329058424310247</v>
      </c>
      <c r="Q58" s="37">
        <f t="shared" si="19"/>
        <v>0.000507446221731937</v>
      </c>
      <c r="R58" s="38">
        <f t="shared" si="20"/>
        <v>0.13142857142857167</v>
      </c>
      <c r="S58" s="38">
        <f t="shared" si="21"/>
        <v>4.158571428571428</v>
      </c>
      <c r="T58" s="38">
        <f t="shared" si="22"/>
        <v>29.11</v>
      </c>
    </row>
    <row r="59" spans="1:20" s="38" customFormat="1" ht="19.5" customHeight="1">
      <c r="A59" s="34" t="s">
        <v>76</v>
      </c>
      <c r="B59" s="35" t="s">
        <v>77</v>
      </c>
      <c r="C59" s="23">
        <v>0.17</v>
      </c>
      <c r="D59" s="23">
        <v>0.24</v>
      </c>
      <c r="E59" s="23">
        <v>0.29</v>
      </c>
      <c r="F59" s="23">
        <v>0.62</v>
      </c>
      <c r="G59" s="23">
        <v>0.91</v>
      </c>
      <c r="H59" s="39">
        <v>1.06</v>
      </c>
      <c r="I59" s="39">
        <v>1.06</v>
      </c>
      <c r="J59" s="39">
        <f>I59+(I59*P59)</f>
        <v>1.4937728467695397</v>
      </c>
      <c r="K59" s="39">
        <f>J59+(J59*P59)</f>
        <v>2.1050540733452587</v>
      </c>
      <c r="L59" s="39">
        <f>K59+(K59*P59)</f>
        <v>2.9664835997592096</v>
      </c>
      <c r="M59" s="39">
        <f>L59+(L59*P59)</f>
        <v>4.180427029912703</v>
      </c>
      <c r="N59" s="39">
        <f>M59+(M59*P59)</f>
        <v>5.891139986023613</v>
      </c>
      <c r="O59" s="39">
        <f>N59+(N59*P59)</f>
        <v>8.301910327962602</v>
      </c>
      <c r="P59" s="37">
        <f>(LOGEST(C59:I59)*100-100)/100</f>
        <v>0.4092196667637165</v>
      </c>
      <c r="Q59" s="37">
        <f t="shared" si="19"/>
        <v>0.025798319327731103</v>
      </c>
      <c r="R59" s="38">
        <f t="shared" si="20"/>
        <v>0.4385714285714287</v>
      </c>
      <c r="S59" s="38">
        <f t="shared" si="21"/>
        <v>0.6214285714285713</v>
      </c>
      <c r="T59" s="38">
        <f t="shared" si="22"/>
        <v>4.35</v>
      </c>
    </row>
    <row r="60" spans="1:20" s="38" customFormat="1" ht="19.5" customHeight="1">
      <c r="A60" s="34" t="s">
        <v>78</v>
      </c>
      <c r="B60" s="35" t="s">
        <v>79</v>
      </c>
      <c r="C60" s="23">
        <v>0.37</v>
      </c>
      <c r="D60" s="23">
        <v>0.13</v>
      </c>
      <c r="E60" s="23">
        <v>1.85</v>
      </c>
      <c r="F60" s="23">
        <v>0.6</v>
      </c>
      <c r="G60" s="23">
        <v>1.31</v>
      </c>
      <c r="H60" s="39">
        <v>1.46</v>
      </c>
      <c r="I60" s="39">
        <v>1.65</v>
      </c>
      <c r="J60" s="39">
        <f>I60+(I60*P60)</f>
        <v>2.273660200677239</v>
      </c>
      <c r="K60" s="39">
        <f>J60+(J60*P60)</f>
        <v>3.133048914026462</v>
      </c>
      <c r="L60" s="39">
        <f>K60+(K60*P60)</f>
        <v>4.317265831876977</v>
      </c>
      <c r="M60" s="39">
        <f>L60+(L60*P60)</f>
        <v>5.949088180413573</v>
      </c>
      <c r="N60" s="39">
        <f>M60+(M60*P60)</f>
        <v>8.197700015833766</v>
      </c>
      <c r="O60" s="39">
        <f>N60+(N60*P60)</f>
        <v>11.29623288672267</v>
      </c>
      <c r="P60" s="37">
        <f>(LOGEST(C60:I60)*100-100)/100</f>
        <v>0.37797587919832665</v>
      </c>
      <c r="Q60" s="37">
        <f t="shared" si="19"/>
        <v>0.01613899613899614</v>
      </c>
      <c r="R60" s="38">
        <f t="shared" si="20"/>
        <v>0.5971428571428572</v>
      </c>
      <c r="S60" s="38">
        <f t="shared" si="21"/>
        <v>1.0528571428571427</v>
      </c>
      <c r="T60" s="38">
        <f t="shared" si="22"/>
        <v>7.369999999999999</v>
      </c>
    </row>
    <row r="61" spans="1:20" s="38" customFormat="1" ht="71.25">
      <c r="A61" s="34" t="s">
        <v>80</v>
      </c>
      <c r="B61" s="35" t="s">
        <v>261</v>
      </c>
      <c r="C61" s="22">
        <v>0.08</v>
      </c>
      <c r="D61" s="23">
        <v>0.19</v>
      </c>
      <c r="E61" s="23">
        <v>5.19</v>
      </c>
      <c r="F61" s="23">
        <v>4.26</v>
      </c>
      <c r="G61" s="23">
        <v>4.84</v>
      </c>
      <c r="H61" s="39">
        <v>4.8</v>
      </c>
      <c r="I61" s="39">
        <v>4.95</v>
      </c>
      <c r="J61" s="39">
        <v>9.67</v>
      </c>
      <c r="K61" s="39">
        <v>10.76</v>
      </c>
      <c r="L61" s="39">
        <v>11.97</v>
      </c>
      <c r="M61" s="39">
        <v>13.32</v>
      </c>
      <c r="N61" s="39">
        <v>14.82</v>
      </c>
      <c r="O61" s="39">
        <v>16.49</v>
      </c>
      <c r="P61" s="37">
        <f>(LOGEST(K61:O61)*100-100)/100</f>
        <v>0.1126461824681175</v>
      </c>
      <c r="Q61" s="37">
        <f t="shared" si="19"/>
        <v>0.18464285714285716</v>
      </c>
      <c r="R61" s="38">
        <f t="shared" si="20"/>
        <v>1.4771428571428573</v>
      </c>
      <c r="S61" s="38">
        <f t="shared" si="21"/>
        <v>3.472857142857143</v>
      </c>
      <c r="T61" s="38">
        <f t="shared" si="22"/>
        <v>24.31</v>
      </c>
    </row>
    <row r="62" spans="1:20" s="38" customFormat="1" ht="42.75">
      <c r="A62" s="34"/>
      <c r="B62" s="35" t="s">
        <v>81</v>
      </c>
      <c r="C62" s="22">
        <v>0.08</v>
      </c>
      <c r="D62" s="23">
        <v>0.19</v>
      </c>
      <c r="E62" s="23">
        <v>5.19</v>
      </c>
      <c r="F62" s="23">
        <v>4.26</v>
      </c>
      <c r="G62" s="23">
        <v>4.84</v>
      </c>
      <c r="H62" s="39">
        <v>4.8</v>
      </c>
      <c r="I62" s="39">
        <v>4.95</v>
      </c>
      <c r="J62" s="39">
        <v>9.67</v>
      </c>
      <c r="K62" s="39">
        <v>10.76</v>
      </c>
      <c r="L62" s="39">
        <v>11.97</v>
      </c>
      <c r="M62" s="39">
        <v>13.32</v>
      </c>
      <c r="N62" s="39">
        <v>14.82</v>
      </c>
      <c r="O62" s="39">
        <v>16.49</v>
      </c>
      <c r="P62" s="37">
        <f>(LOGEST(K62:O62)*100-100)/100</f>
        <v>0.1126461824681175</v>
      </c>
      <c r="Q62" s="37">
        <f t="shared" si="19"/>
        <v>0.18464285714285716</v>
      </c>
      <c r="R62" s="38">
        <f t="shared" si="20"/>
        <v>1.4771428571428573</v>
      </c>
      <c r="S62" s="38">
        <f t="shared" si="21"/>
        <v>3.472857142857143</v>
      </c>
      <c r="T62" s="38">
        <f t="shared" si="22"/>
        <v>24.31</v>
      </c>
    </row>
    <row r="63" spans="1:20" s="38" customFormat="1" ht="28.5">
      <c r="A63" s="34" t="s">
        <v>82</v>
      </c>
      <c r="B63" s="35" t="s">
        <v>260</v>
      </c>
      <c r="C63" s="23">
        <v>1236.71</v>
      </c>
      <c r="D63" s="23">
        <v>957.02</v>
      </c>
      <c r="E63" s="23">
        <v>950.92</v>
      </c>
      <c r="F63" s="23">
        <v>941.32</v>
      </c>
      <c r="G63" s="23">
        <v>843.9</v>
      </c>
      <c r="H63" s="39">
        <v>780.99</v>
      </c>
      <c r="I63" s="39">
        <v>776.04</v>
      </c>
      <c r="J63" s="39">
        <v>771.44</v>
      </c>
      <c r="K63" s="39">
        <v>777.66</v>
      </c>
      <c r="L63" s="39">
        <v>784.8</v>
      </c>
      <c r="M63" s="39">
        <v>793.03</v>
      </c>
      <c r="N63" s="39">
        <v>802.48</v>
      </c>
      <c r="O63" s="39">
        <v>813.35</v>
      </c>
      <c r="P63" s="37">
        <f>(LOGEST(K63:O63)*100-100)/100</f>
        <v>0.01126520441142432</v>
      </c>
      <c r="Q63" s="37">
        <f t="shared" si="19"/>
        <v>-0.0012182322452312989</v>
      </c>
      <c r="R63" s="38">
        <f t="shared" si="20"/>
        <v>-150.65999999999997</v>
      </c>
      <c r="S63" s="38">
        <f t="shared" si="21"/>
        <v>926.6999999999999</v>
      </c>
      <c r="T63" s="38">
        <f t="shared" si="22"/>
        <v>6486.9</v>
      </c>
    </row>
    <row r="64" spans="1:20" s="38" customFormat="1" ht="19.5" customHeight="1">
      <c r="A64" s="23">
        <v>103</v>
      </c>
      <c r="B64" s="35" t="s">
        <v>83</v>
      </c>
      <c r="C64" s="23">
        <v>1232.55</v>
      </c>
      <c r="D64" s="23">
        <v>957.01</v>
      </c>
      <c r="E64" s="23">
        <v>949.92</v>
      </c>
      <c r="F64" s="23">
        <v>938.15</v>
      </c>
      <c r="G64" s="23">
        <f>844.15-0.25</f>
        <v>843.9</v>
      </c>
      <c r="H64" s="39">
        <v>780.99</v>
      </c>
      <c r="I64" s="39">
        <v>776.04</v>
      </c>
      <c r="J64" s="39">
        <v>771.44</v>
      </c>
      <c r="K64" s="39">
        <v>777.66</v>
      </c>
      <c r="L64" s="39">
        <v>784.8</v>
      </c>
      <c r="M64" s="39">
        <v>793.03</v>
      </c>
      <c r="N64" s="39">
        <v>802.48</v>
      </c>
      <c r="O64" s="39">
        <v>813.35</v>
      </c>
      <c r="P64" s="37">
        <f>(LOGEST(K64:O64)*100-100)/100</f>
        <v>0.01126520441142432</v>
      </c>
      <c r="Q64" s="37">
        <f t="shared" si="19"/>
        <v>-0.0012126775500269475</v>
      </c>
      <c r="R64" s="38">
        <f t="shared" si="20"/>
        <v>-149.4685714285714</v>
      </c>
      <c r="S64" s="38">
        <f t="shared" si="21"/>
        <v>925.5085714285714</v>
      </c>
      <c r="T64" s="38">
        <f t="shared" si="22"/>
        <v>6478.5599999999995</v>
      </c>
    </row>
    <row r="65" spans="1:17" s="38" customFormat="1" ht="28.5">
      <c r="A65" s="23">
        <v>105</v>
      </c>
      <c r="B65" s="35" t="s">
        <v>84</v>
      </c>
      <c r="C65" s="36">
        <v>0</v>
      </c>
      <c r="D65" s="36">
        <v>0</v>
      </c>
      <c r="E65" s="36">
        <v>0</v>
      </c>
      <c r="F65" s="36">
        <v>0</v>
      </c>
      <c r="G65" s="36">
        <v>0</v>
      </c>
      <c r="H65" s="36">
        <v>0</v>
      </c>
      <c r="I65" s="36">
        <v>0</v>
      </c>
      <c r="J65" s="36">
        <v>0</v>
      </c>
      <c r="K65" s="36">
        <v>0</v>
      </c>
      <c r="L65" s="36">
        <v>0</v>
      </c>
      <c r="M65" s="36">
        <v>0</v>
      </c>
      <c r="N65" s="36">
        <v>0</v>
      </c>
      <c r="O65" s="36">
        <v>0</v>
      </c>
      <c r="P65" s="37"/>
      <c r="Q65" s="37"/>
    </row>
    <row r="66" spans="1:17" s="38" customFormat="1" ht="19.5" customHeight="1">
      <c r="A66" s="23">
        <v>108</v>
      </c>
      <c r="B66" s="35" t="s">
        <v>85</v>
      </c>
      <c r="C66" s="36">
        <v>0</v>
      </c>
      <c r="D66" s="36">
        <v>0</v>
      </c>
      <c r="E66" s="36">
        <v>0</v>
      </c>
      <c r="F66" s="36">
        <v>3.1</v>
      </c>
      <c r="G66" s="36">
        <v>0</v>
      </c>
      <c r="H66" s="36">
        <v>0</v>
      </c>
      <c r="I66" s="36">
        <v>0</v>
      </c>
      <c r="J66" s="36">
        <v>0</v>
      </c>
      <c r="K66" s="36">
        <v>0</v>
      </c>
      <c r="L66" s="36">
        <v>0</v>
      </c>
      <c r="M66" s="36">
        <v>0</v>
      </c>
      <c r="N66" s="36">
        <v>0</v>
      </c>
      <c r="O66" s="36">
        <v>0</v>
      </c>
      <c r="P66" s="37"/>
      <c r="Q66" s="37"/>
    </row>
    <row r="67" spans="1:17" s="38" customFormat="1" ht="19.5" customHeight="1">
      <c r="A67" s="23"/>
      <c r="B67" s="35"/>
      <c r="C67" s="23"/>
      <c r="D67" s="23"/>
      <c r="E67" s="23"/>
      <c r="F67" s="23"/>
      <c r="G67" s="23"/>
      <c r="H67" s="39"/>
      <c r="I67" s="39"/>
      <c r="J67" s="39"/>
      <c r="K67" s="39"/>
      <c r="L67" s="39"/>
      <c r="M67" s="39"/>
      <c r="N67" s="39"/>
      <c r="O67" s="39"/>
      <c r="P67" s="37"/>
      <c r="Q67" s="37"/>
    </row>
    <row r="68" spans="1:17" s="38" customFormat="1" ht="19.5" customHeight="1">
      <c r="A68" s="32" t="s">
        <v>86</v>
      </c>
      <c r="B68" s="35" t="s">
        <v>87</v>
      </c>
      <c r="C68" s="32">
        <f>SUM(C69+C76+C81+C82+C85+C86+C87+C88+C89+C90)</f>
        <v>6.420000000000001</v>
      </c>
      <c r="D68" s="32">
        <f aca="true" t="shared" si="23" ref="D68:O68">SUM(D69+D76+D81+D82+D85+D86+D87+D88+D89+D90)</f>
        <v>7.77</v>
      </c>
      <c r="E68" s="32">
        <f t="shared" si="23"/>
        <v>9.019999999999998</v>
      </c>
      <c r="F68" s="32">
        <f t="shared" si="23"/>
        <v>8.330000000000002</v>
      </c>
      <c r="G68" s="32">
        <f t="shared" si="23"/>
        <v>8.28</v>
      </c>
      <c r="H68" s="32">
        <f t="shared" si="23"/>
        <v>7.63</v>
      </c>
      <c r="I68" s="32">
        <f t="shared" si="23"/>
        <v>8.23</v>
      </c>
      <c r="J68" s="32">
        <f t="shared" si="23"/>
        <v>8.727475080658468</v>
      </c>
      <c r="K68" s="32">
        <f t="shared" si="23"/>
        <v>9.273083845300377</v>
      </c>
      <c r="L68" s="32">
        <f t="shared" si="23"/>
        <v>9.871885997466451</v>
      </c>
      <c r="M68" s="32">
        <f t="shared" si="23"/>
        <v>10.529511634044885</v>
      </c>
      <c r="N68" s="32">
        <f t="shared" si="23"/>
        <v>11.252229763807254</v>
      </c>
      <c r="O68" s="32">
        <f t="shared" si="23"/>
        <v>12.04702553660789</v>
      </c>
      <c r="P68" s="49"/>
      <c r="Q68" s="37"/>
    </row>
    <row r="69" spans="1:20" s="38" customFormat="1" ht="32.25" customHeight="1">
      <c r="A69" s="34" t="s">
        <v>88</v>
      </c>
      <c r="B69" s="35" t="s">
        <v>262</v>
      </c>
      <c r="C69" s="23">
        <v>1.18</v>
      </c>
      <c r="D69" s="23">
        <v>1.79</v>
      </c>
      <c r="E69" s="23">
        <v>1.57</v>
      </c>
      <c r="F69" s="23">
        <v>1.73</v>
      </c>
      <c r="G69" s="23">
        <v>1.35</v>
      </c>
      <c r="H69" s="39">
        <v>1.32</v>
      </c>
      <c r="I69" s="39">
        <v>1.69</v>
      </c>
      <c r="J69" s="39">
        <v>1.69</v>
      </c>
      <c r="K69" s="39">
        <v>1.69</v>
      </c>
      <c r="L69" s="39">
        <v>1.69</v>
      </c>
      <c r="M69" s="39">
        <v>1.69</v>
      </c>
      <c r="N69" s="39">
        <v>1.69</v>
      </c>
      <c r="O69" s="39">
        <v>1.69</v>
      </c>
      <c r="P69" s="37">
        <f aca="true" t="shared" si="24" ref="P69:P77">(LOGEST(C69:I69)*100-100)/100</f>
        <v>0.011403944733860812</v>
      </c>
      <c r="Q69" s="37">
        <f aca="true" t="shared" si="25" ref="Q69:Q90">R69/(C69*100)</f>
        <v>0.0014527845036319618</v>
      </c>
      <c r="R69" s="38">
        <f aca="true" t="shared" si="26" ref="R69:R90">I69-S69</f>
        <v>0.17142857142857149</v>
      </c>
      <c r="S69" s="38">
        <f aca="true" t="shared" si="27" ref="S69:S90">T69/7</f>
        <v>1.5185714285714285</v>
      </c>
      <c r="T69" s="38">
        <f aca="true" t="shared" si="28" ref="T69:T90">SUM(C69:I69)</f>
        <v>10.629999999999999</v>
      </c>
    </row>
    <row r="70" spans="1:20" s="38" customFormat="1" ht="19.5" customHeight="1">
      <c r="A70" s="34" t="s">
        <v>76</v>
      </c>
      <c r="B70" s="35" t="s">
        <v>89</v>
      </c>
      <c r="C70" s="23">
        <v>1.13</v>
      </c>
      <c r="D70" s="23">
        <v>1.59</v>
      </c>
      <c r="E70" s="23">
        <v>1.31</v>
      </c>
      <c r="F70" s="23">
        <v>1.67</v>
      </c>
      <c r="G70" s="23">
        <v>1.3</v>
      </c>
      <c r="H70" s="39">
        <v>1.2</v>
      </c>
      <c r="I70" s="39">
        <v>1.4</v>
      </c>
      <c r="J70" s="39">
        <v>1.4</v>
      </c>
      <c r="K70" s="39">
        <v>1.4</v>
      </c>
      <c r="L70" s="39">
        <v>1.4</v>
      </c>
      <c r="M70" s="39">
        <v>1.4</v>
      </c>
      <c r="N70" s="39">
        <v>1.4</v>
      </c>
      <c r="O70" s="39">
        <v>1.4</v>
      </c>
      <c r="P70" s="37">
        <f t="shared" si="24"/>
        <v>0.0025846208192399443</v>
      </c>
      <c r="Q70" s="37">
        <f t="shared" si="25"/>
        <v>0.0002528445006321104</v>
      </c>
      <c r="R70" s="38">
        <f t="shared" si="26"/>
        <v>0.02857142857142847</v>
      </c>
      <c r="S70" s="38">
        <f t="shared" si="27"/>
        <v>1.3714285714285714</v>
      </c>
      <c r="T70" s="38">
        <f t="shared" si="28"/>
        <v>9.6</v>
      </c>
    </row>
    <row r="71" spans="1:20" s="38" customFormat="1" ht="19.5" customHeight="1">
      <c r="A71" s="23">
        <v>101</v>
      </c>
      <c r="B71" s="35" t="s">
        <v>90</v>
      </c>
      <c r="C71" s="23">
        <v>0.1</v>
      </c>
      <c r="D71" s="23">
        <v>0.18</v>
      </c>
      <c r="E71" s="23">
        <v>0.2</v>
      </c>
      <c r="F71" s="23">
        <v>0.52</v>
      </c>
      <c r="G71" s="23">
        <v>0.03</v>
      </c>
      <c r="H71" s="39">
        <v>0.27</v>
      </c>
      <c r="I71" s="39">
        <v>0.06</v>
      </c>
      <c r="J71" s="39">
        <v>0.06</v>
      </c>
      <c r="K71" s="39">
        <v>0.06</v>
      </c>
      <c r="L71" s="39">
        <v>0.06</v>
      </c>
      <c r="M71" s="39">
        <v>0.06</v>
      </c>
      <c r="N71" s="39">
        <v>0.06</v>
      </c>
      <c r="O71" s="39">
        <v>0.06</v>
      </c>
      <c r="P71" s="37">
        <f t="shared" si="24"/>
        <v>-0.08928366568576224</v>
      </c>
      <c r="Q71" s="37">
        <f t="shared" si="25"/>
        <v>-0.013428571428571432</v>
      </c>
      <c r="R71" s="38">
        <f t="shared" si="26"/>
        <v>-0.1342857142857143</v>
      </c>
      <c r="S71" s="38">
        <f t="shared" si="27"/>
        <v>0.1942857142857143</v>
      </c>
      <c r="T71" s="38">
        <f t="shared" si="28"/>
        <v>1.36</v>
      </c>
    </row>
    <row r="72" spans="1:20" s="38" customFormat="1" ht="19.5" customHeight="1">
      <c r="A72" s="23">
        <v>102</v>
      </c>
      <c r="B72" s="35" t="s">
        <v>91</v>
      </c>
      <c r="C72" s="23">
        <v>0.95</v>
      </c>
      <c r="D72" s="23">
        <v>1.37</v>
      </c>
      <c r="E72" s="23">
        <v>1.1</v>
      </c>
      <c r="F72" s="23">
        <v>1.08</v>
      </c>
      <c r="G72" s="23">
        <v>1.24</v>
      </c>
      <c r="H72" s="39">
        <v>0.2</v>
      </c>
      <c r="I72" s="39">
        <v>0.55</v>
      </c>
      <c r="J72" s="39">
        <v>0.55</v>
      </c>
      <c r="K72" s="39">
        <v>0.55</v>
      </c>
      <c r="L72" s="39">
        <v>0.55</v>
      </c>
      <c r="M72" s="39">
        <v>0.55</v>
      </c>
      <c r="N72" s="39">
        <v>0.55</v>
      </c>
      <c r="O72" s="39">
        <v>0.55</v>
      </c>
      <c r="P72" s="37">
        <f t="shared" si="24"/>
        <v>-0.17446694355937167</v>
      </c>
      <c r="Q72" s="37">
        <f t="shared" si="25"/>
        <v>-0.003969924812030075</v>
      </c>
      <c r="R72" s="38">
        <f t="shared" si="26"/>
        <v>-0.3771428571428571</v>
      </c>
      <c r="S72" s="38">
        <f t="shared" si="27"/>
        <v>0.9271428571428572</v>
      </c>
      <c r="T72" s="38">
        <f t="shared" si="28"/>
        <v>6.49</v>
      </c>
    </row>
    <row r="73" spans="1:20" s="38" customFormat="1" ht="19.5" customHeight="1">
      <c r="A73" s="34" t="s">
        <v>78</v>
      </c>
      <c r="B73" s="35" t="s">
        <v>92</v>
      </c>
      <c r="C73" s="23">
        <v>0.01</v>
      </c>
      <c r="D73" s="23">
        <v>0.01</v>
      </c>
      <c r="E73" s="23">
        <v>0</v>
      </c>
      <c r="F73" s="23">
        <v>0</v>
      </c>
      <c r="G73" s="23">
        <v>0</v>
      </c>
      <c r="H73" s="39">
        <v>0</v>
      </c>
      <c r="I73" s="39">
        <v>0</v>
      </c>
      <c r="J73" s="39">
        <f>I73+(I73*P73)</f>
        <v>0</v>
      </c>
      <c r="K73" s="39">
        <f>J73+(J73*P73)</f>
        <v>0</v>
      </c>
      <c r="L73" s="39">
        <f>K73+(K73*P73)</f>
        <v>0</v>
      </c>
      <c r="M73" s="39">
        <f>L73+(L73*P73)</f>
        <v>0</v>
      </c>
      <c r="N73" s="39">
        <f>M73+(M73*P73)</f>
        <v>0</v>
      </c>
      <c r="O73" s="39">
        <f aca="true" t="shared" si="29" ref="O73:O85">N73+(N73*P73)</f>
        <v>0</v>
      </c>
      <c r="P73" s="37">
        <f>((I73/C73)^(1/(7-1))-1)</f>
        <v>-1</v>
      </c>
      <c r="Q73" s="37">
        <f t="shared" si="25"/>
        <v>-0.002857142857142857</v>
      </c>
      <c r="R73" s="38">
        <f t="shared" si="26"/>
        <v>-0.002857142857142857</v>
      </c>
      <c r="S73" s="38">
        <f t="shared" si="27"/>
        <v>0.002857142857142857</v>
      </c>
      <c r="T73" s="38">
        <f t="shared" si="28"/>
        <v>0.02</v>
      </c>
    </row>
    <row r="74" spans="1:20" s="38" customFormat="1" ht="28.5">
      <c r="A74" s="34" t="s">
        <v>30</v>
      </c>
      <c r="B74" s="35" t="s">
        <v>263</v>
      </c>
      <c r="C74" s="23">
        <v>0.02</v>
      </c>
      <c r="D74" s="23">
        <v>0.14</v>
      </c>
      <c r="E74" s="23">
        <v>0.23</v>
      </c>
      <c r="F74" s="23">
        <v>0.01</v>
      </c>
      <c r="G74" s="23">
        <v>0.01</v>
      </c>
      <c r="H74" s="39">
        <v>0.1</v>
      </c>
      <c r="I74" s="39">
        <v>0.12</v>
      </c>
      <c r="J74" s="39">
        <f>I74+(I74*P74)</f>
        <v>0.12690646311015466</v>
      </c>
      <c r="K74" s="39">
        <f>J74+(J74*P74)</f>
        <v>0.1342104198260754</v>
      </c>
      <c r="L74" s="39">
        <f>K74+(K74*P74)</f>
        <v>0.14193474743880174</v>
      </c>
      <c r="M74" s="39">
        <f>L74+(L74*P74)</f>
        <v>0.15010363991576178</v>
      </c>
      <c r="N74" s="39">
        <f>M74+(M74*P74)</f>
        <v>0.1587426836805797</v>
      </c>
      <c r="O74" s="39">
        <f t="shared" si="29"/>
        <v>0.16787893775430365</v>
      </c>
      <c r="P74" s="37">
        <f t="shared" si="24"/>
        <v>0.05755385925128891</v>
      </c>
      <c r="Q74" s="37">
        <f t="shared" si="25"/>
        <v>0.015</v>
      </c>
      <c r="R74" s="38">
        <f t="shared" si="26"/>
        <v>0.03</v>
      </c>
      <c r="S74" s="38">
        <f t="shared" si="27"/>
        <v>0.09</v>
      </c>
      <c r="T74" s="38">
        <f t="shared" si="28"/>
        <v>0.63</v>
      </c>
    </row>
    <row r="75" spans="1:20" s="38" customFormat="1" ht="19.5" customHeight="1">
      <c r="A75" s="34" t="s">
        <v>93</v>
      </c>
      <c r="B75" s="35" t="s">
        <v>94</v>
      </c>
      <c r="C75" s="23">
        <v>0.02</v>
      </c>
      <c r="D75" s="23">
        <v>0.04</v>
      </c>
      <c r="E75" s="23">
        <v>0.03</v>
      </c>
      <c r="F75" s="23">
        <v>0.05</v>
      </c>
      <c r="G75" s="23">
        <v>0.03</v>
      </c>
      <c r="H75" s="39">
        <v>0.02</v>
      </c>
      <c r="I75" s="39">
        <v>0.02</v>
      </c>
      <c r="J75" s="39">
        <f>I75+(I75*P75)</f>
        <v>0.02</v>
      </c>
      <c r="K75" s="39">
        <f>J75+(J75*P75)</f>
        <v>0.02</v>
      </c>
      <c r="L75" s="39">
        <f>K75+(K75*P75)</f>
        <v>0.02</v>
      </c>
      <c r="M75" s="39">
        <f>L75+(L75*P75)</f>
        <v>0.02</v>
      </c>
      <c r="N75" s="39">
        <f>M75+(M75*P75)</f>
        <v>0.02</v>
      </c>
      <c r="O75" s="39">
        <f t="shared" si="29"/>
        <v>0.02</v>
      </c>
      <c r="P75" s="37"/>
      <c r="Q75" s="37">
        <f t="shared" si="25"/>
        <v>-0.004999999999999999</v>
      </c>
      <c r="R75" s="38">
        <f t="shared" si="26"/>
        <v>-0.009999999999999998</v>
      </c>
      <c r="S75" s="38">
        <f t="shared" si="27"/>
        <v>0.03</v>
      </c>
      <c r="T75" s="38">
        <f t="shared" si="28"/>
        <v>0.21</v>
      </c>
    </row>
    <row r="76" spans="1:20" s="38" customFormat="1" ht="28.5">
      <c r="A76" s="34" t="s">
        <v>95</v>
      </c>
      <c r="B76" s="35" t="s">
        <v>241</v>
      </c>
      <c r="C76" s="23">
        <f>SUM(C77:C81)</f>
        <v>1.1400000000000001</v>
      </c>
      <c r="D76" s="23">
        <v>0.96</v>
      </c>
      <c r="E76" s="23">
        <v>1.02</v>
      </c>
      <c r="F76" s="23">
        <v>0.72</v>
      </c>
      <c r="G76" s="23">
        <v>1.27</v>
      </c>
      <c r="H76" s="39">
        <v>1.27</v>
      </c>
      <c r="I76" s="39">
        <v>1.27</v>
      </c>
      <c r="J76" s="39">
        <f>I76+(I76*P76)</f>
        <v>1.321020686804805</v>
      </c>
      <c r="K76" s="39">
        <f>J76+(J76*P76)</f>
        <v>1.3740910669025503</v>
      </c>
      <c r="L76" s="39">
        <f>K76+(K76*P76)</f>
        <v>1.4292934841983893</v>
      </c>
      <c r="M76" s="39">
        <f>L76+(L76*P76)</f>
        <v>1.486713590662511</v>
      </c>
      <c r="N76" s="39">
        <f>M76+(M76*P76)</f>
        <v>1.5464404792275812</v>
      </c>
      <c r="O76" s="39">
        <f t="shared" si="29"/>
        <v>1.6085668220251743</v>
      </c>
      <c r="P76" s="37">
        <f t="shared" si="24"/>
        <v>0.04017376913764181</v>
      </c>
      <c r="Q76" s="37">
        <f t="shared" si="25"/>
        <v>0.0015538847117794496</v>
      </c>
      <c r="R76" s="38">
        <f t="shared" si="26"/>
        <v>0.17714285714285727</v>
      </c>
      <c r="S76" s="38">
        <f t="shared" si="27"/>
        <v>1.0928571428571427</v>
      </c>
      <c r="T76" s="38">
        <f t="shared" si="28"/>
        <v>7.649999999999999</v>
      </c>
    </row>
    <row r="77" spans="1:20" s="38" customFormat="1" ht="19.5" customHeight="1">
      <c r="A77" s="34" t="s">
        <v>76</v>
      </c>
      <c r="B77" s="35" t="s">
        <v>96</v>
      </c>
      <c r="C77" s="23">
        <v>1.07</v>
      </c>
      <c r="D77" s="23">
        <v>0.9</v>
      </c>
      <c r="E77" s="23">
        <v>0.56</v>
      </c>
      <c r="F77" s="23">
        <v>0.62</v>
      </c>
      <c r="G77" s="23">
        <v>0.83</v>
      </c>
      <c r="H77" s="39">
        <f>0.4+0.62</f>
        <v>1.02</v>
      </c>
      <c r="I77" s="39">
        <v>1.02</v>
      </c>
      <c r="J77" s="39">
        <f>I77+(I77*P77)</f>
        <v>1.0383870508112363</v>
      </c>
      <c r="K77" s="39">
        <f>J77+(J77*P77)</f>
        <v>1.0571055561690754</v>
      </c>
      <c r="L77" s="39">
        <f>K77+(K77*P77)</f>
        <v>1.0761614910456647</v>
      </c>
      <c r="M77" s="39">
        <f>L77+(L77*P77)</f>
        <v>1.0955609381211082</v>
      </c>
      <c r="N77" s="39">
        <f>M77+(M77*P77)</f>
        <v>1.1153100897250676</v>
      </c>
      <c r="O77" s="39">
        <f t="shared" si="29"/>
        <v>1.1354152498133612</v>
      </c>
      <c r="P77" s="37">
        <f t="shared" si="24"/>
        <v>0.01802652040317284</v>
      </c>
      <c r="Q77" s="37">
        <f t="shared" si="25"/>
        <v>0.0014953271028037387</v>
      </c>
      <c r="R77" s="38">
        <f t="shared" si="26"/>
        <v>0.16000000000000003</v>
      </c>
      <c r="S77" s="38">
        <f t="shared" si="27"/>
        <v>0.86</v>
      </c>
      <c r="T77" s="38">
        <f t="shared" si="28"/>
        <v>6.02</v>
      </c>
    </row>
    <row r="78" spans="1:17" s="38" customFormat="1" ht="19.5" customHeight="1">
      <c r="A78" s="34" t="s">
        <v>78</v>
      </c>
      <c r="B78" s="35" t="s">
        <v>97</v>
      </c>
      <c r="C78" s="36">
        <v>0</v>
      </c>
      <c r="D78" s="36">
        <v>0</v>
      </c>
      <c r="E78" s="36">
        <v>0</v>
      </c>
      <c r="F78" s="36">
        <v>0</v>
      </c>
      <c r="G78" s="36">
        <v>0</v>
      </c>
      <c r="H78" s="36">
        <v>0</v>
      </c>
      <c r="I78" s="36">
        <v>0</v>
      </c>
      <c r="J78" s="36">
        <v>0</v>
      </c>
      <c r="K78" s="36">
        <v>0</v>
      </c>
      <c r="L78" s="36">
        <v>0</v>
      </c>
      <c r="M78" s="36">
        <v>0</v>
      </c>
      <c r="N78" s="36">
        <v>0</v>
      </c>
      <c r="O78" s="36">
        <v>0</v>
      </c>
      <c r="P78" s="37"/>
      <c r="Q78" s="37"/>
    </row>
    <row r="79" spans="1:17" s="38" customFormat="1" ht="36.75" customHeight="1">
      <c r="A79" s="34" t="s">
        <v>30</v>
      </c>
      <c r="B79" s="35" t="s">
        <v>98</v>
      </c>
      <c r="C79" s="36">
        <v>0</v>
      </c>
      <c r="D79" s="36">
        <v>0</v>
      </c>
      <c r="E79" s="36">
        <v>0</v>
      </c>
      <c r="F79" s="36">
        <v>0</v>
      </c>
      <c r="G79" s="36">
        <v>0</v>
      </c>
      <c r="H79" s="36">
        <v>0</v>
      </c>
      <c r="I79" s="36">
        <v>0</v>
      </c>
      <c r="J79" s="36">
        <v>0</v>
      </c>
      <c r="K79" s="36">
        <v>0</v>
      </c>
      <c r="L79" s="36">
        <v>0</v>
      </c>
      <c r="M79" s="36">
        <v>0</v>
      </c>
      <c r="N79" s="36">
        <v>0</v>
      </c>
      <c r="O79" s="36">
        <v>0</v>
      </c>
      <c r="P79" s="37"/>
      <c r="Q79" s="37"/>
    </row>
    <row r="80" spans="1:20" s="38" customFormat="1" ht="19.5" customHeight="1">
      <c r="A80" s="34" t="s">
        <v>93</v>
      </c>
      <c r="B80" s="35" t="s">
        <v>99</v>
      </c>
      <c r="C80" s="22">
        <v>0.07</v>
      </c>
      <c r="D80" s="23">
        <v>0.06</v>
      </c>
      <c r="E80" s="23">
        <v>0.46</v>
      </c>
      <c r="F80" s="23">
        <v>0.11</v>
      </c>
      <c r="G80" s="23">
        <v>0.45</v>
      </c>
      <c r="H80" s="39">
        <f>0.15+0.02+0.08</f>
        <v>0.25</v>
      </c>
      <c r="I80" s="39">
        <f>0.15+0.02+0.08</f>
        <v>0.25</v>
      </c>
      <c r="J80" s="39">
        <f>I80+(I80*P80)</f>
        <v>0.3170317792983552</v>
      </c>
      <c r="K80" s="39">
        <f>J80+(J80*P80)</f>
        <v>0.40203659634032396</v>
      </c>
      <c r="L80" s="39">
        <f>K80+(K80*P80)</f>
        <v>0.50983350992331</v>
      </c>
      <c r="M80" s="39">
        <f>L80+(L80*P80)</f>
        <v>0.6465336991876504</v>
      </c>
      <c r="N80" s="39">
        <f>M80+(M80*P80)</f>
        <v>0.8198869161192333</v>
      </c>
      <c r="O80" s="39">
        <f t="shared" si="29"/>
        <v>1.0397208313628872</v>
      </c>
      <c r="P80" s="37">
        <f aca="true" t="shared" si="30" ref="P80:P88">(LOGEST(C80:I80)*100-100)/100</f>
        <v>0.26812711719342075</v>
      </c>
      <c r="Q80" s="37">
        <f t="shared" si="25"/>
        <v>0.0020408163265306085</v>
      </c>
      <c r="R80" s="38">
        <f t="shared" si="26"/>
        <v>0.014285714285714263</v>
      </c>
      <c r="S80" s="38">
        <f t="shared" si="27"/>
        <v>0.23571428571428574</v>
      </c>
      <c r="T80" s="38">
        <f t="shared" si="28"/>
        <v>1.6500000000000001</v>
      </c>
    </row>
    <row r="81" spans="1:17" s="38" customFormat="1" ht="19.5" customHeight="1">
      <c r="A81" s="34" t="s">
        <v>100</v>
      </c>
      <c r="B81" s="35" t="s">
        <v>101</v>
      </c>
      <c r="C81" s="36">
        <v>0</v>
      </c>
      <c r="D81" s="36">
        <v>0</v>
      </c>
      <c r="E81" s="36">
        <v>0</v>
      </c>
      <c r="F81" s="36">
        <v>0</v>
      </c>
      <c r="G81" s="36">
        <v>0</v>
      </c>
      <c r="H81" s="36">
        <v>0</v>
      </c>
      <c r="I81" s="36">
        <v>0</v>
      </c>
      <c r="J81" s="36">
        <v>0</v>
      </c>
      <c r="K81" s="36">
        <v>0</v>
      </c>
      <c r="L81" s="36">
        <v>0</v>
      </c>
      <c r="M81" s="36">
        <v>0</v>
      </c>
      <c r="N81" s="36">
        <v>0</v>
      </c>
      <c r="O81" s="36">
        <v>0</v>
      </c>
      <c r="P81" s="37"/>
      <c r="Q81" s="37"/>
    </row>
    <row r="82" spans="1:20" s="38" customFormat="1" ht="35.25" customHeight="1">
      <c r="A82" s="34" t="s">
        <v>102</v>
      </c>
      <c r="B82" s="35" t="s">
        <v>242</v>
      </c>
      <c r="C82" s="23">
        <f>SUM(C83:C84)</f>
        <v>2.11</v>
      </c>
      <c r="D82" s="23">
        <v>2.58</v>
      </c>
      <c r="E82" s="23">
        <v>2.62</v>
      </c>
      <c r="F82" s="23">
        <v>2.61</v>
      </c>
      <c r="G82" s="23">
        <v>2.9</v>
      </c>
      <c r="H82" s="39">
        <v>3.4</v>
      </c>
      <c r="I82" s="39">
        <v>3.87</v>
      </c>
      <c r="J82" s="39">
        <f>I82+(I82*P82)</f>
        <v>4.227384033760012</v>
      </c>
      <c r="K82" s="39">
        <f>J82+(J82*P82)</f>
        <v>4.617771516508805</v>
      </c>
      <c r="L82" s="39">
        <f>K82+(K82*P82)</f>
        <v>5.044210227504156</v>
      </c>
      <c r="M82" s="39">
        <f>L82+(L82*P82)</f>
        <v>5.510029400175718</v>
      </c>
      <c r="N82" s="39">
        <f>M82+(M82*P82)</f>
        <v>6.018865713656612</v>
      </c>
      <c r="O82" s="39">
        <f t="shared" si="29"/>
        <v>6.5746916845626675</v>
      </c>
      <c r="P82" s="37">
        <f t="shared" si="30"/>
        <v>0.09234729554522289</v>
      </c>
      <c r="Q82" s="37">
        <f t="shared" si="25"/>
        <v>0.004739336492890996</v>
      </c>
      <c r="R82" s="38">
        <f t="shared" si="26"/>
        <v>1</v>
      </c>
      <c r="S82" s="38">
        <f t="shared" si="27"/>
        <v>2.87</v>
      </c>
      <c r="T82" s="38">
        <f t="shared" si="28"/>
        <v>20.09</v>
      </c>
    </row>
    <row r="83" spans="1:20" s="38" customFormat="1" ht="19.5" customHeight="1">
      <c r="A83" s="34" t="s">
        <v>76</v>
      </c>
      <c r="B83" s="35" t="s">
        <v>103</v>
      </c>
      <c r="C83" s="23">
        <v>1.72</v>
      </c>
      <c r="D83" s="23">
        <v>2.19</v>
      </c>
      <c r="E83" s="23">
        <v>2.2</v>
      </c>
      <c r="F83" s="23">
        <v>2.27</v>
      </c>
      <c r="G83" s="23">
        <v>2.54</v>
      </c>
      <c r="H83" s="39">
        <v>2.86</v>
      </c>
      <c r="I83" s="39">
        <v>3.22</v>
      </c>
      <c r="J83" s="39">
        <f>I83+(I83*P83)</f>
        <v>3.5281164622600327</v>
      </c>
      <c r="K83" s="39">
        <f>J83+(J83*P83)</f>
        <v>3.8657160780342386</v>
      </c>
      <c r="L83" s="39">
        <f>K83+(K83*P83)</f>
        <v>4.23562004140866</v>
      </c>
      <c r="M83" s="39">
        <f>L83+(L83*P83)</f>
        <v>4.640919501854787</v>
      </c>
      <c r="N83" s="39">
        <f>M83+(M83*P83)</f>
        <v>5.085001395812889</v>
      </c>
      <c r="O83" s="39">
        <f t="shared" si="29"/>
        <v>5.571576750056739</v>
      </c>
      <c r="P83" s="37">
        <f t="shared" si="30"/>
        <v>0.09568834231678025</v>
      </c>
      <c r="Q83" s="37">
        <f t="shared" si="25"/>
        <v>0.004601328903654487</v>
      </c>
      <c r="R83" s="38">
        <f t="shared" si="26"/>
        <v>0.7914285714285718</v>
      </c>
      <c r="S83" s="38">
        <f t="shared" si="27"/>
        <v>2.4285714285714284</v>
      </c>
      <c r="T83" s="38">
        <f t="shared" si="28"/>
        <v>17</v>
      </c>
    </row>
    <row r="84" spans="1:20" s="38" customFormat="1" ht="19.5" customHeight="1">
      <c r="A84" s="34" t="s">
        <v>78</v>
      </c>
      <c r="B84" s="35" t="s">
        <v>104</v>
      </c>
      <c r="C84" s="22">
        <v>0.39</v>
      </c>
      <c r="D84" s="23">
        <v>0.38</v>
      </c>
      <c r="E84" s="23">
        <v>0.42</v>
      </c>
      <c r="F84" s="23">
        <v>0.34</v>
      </c>
      <c r="G84" s="23">
        <v>0.35</v>
      </c>
      <c r="H84" s="39">
        <v>0.54</v>
      </c>
      <c r="I84" s="39">
        <v>0.65</v>
      </c>
      <c r="J84" s="39">
        <f>I84+(I84*P84)</f>
        <v>0.6994484141303847</v>
      </c>
      <c r="K84" s="39">
        <f>J84+(J84*P84)</f>
        <v>0.7526585908146309</v>
      </c>
      <c r="L84" s="39">
        <f>K84+(K84*P84)</f>
        <v>0.8099167041952364</v>
      </c>
      <c r="M84" s="39">
        <f>L84+(L84*P84)</f>
        <v>0.8715306989647169</v>
      </c>
      <c r="N84" s="39">
        <f>M84+(M84*P84)</f>
        <v>0.9378319465489491</v>
      </c>
      <c r="O84" s="39">
        <f t="shared" si="29"/>
        <v>1.0091770272838063</v>
      </c>
      <c r="P84" s="37">
        <f t="shared" si="30"/>
        <v>0.07607448327751484</v>
      </c>
      <c r="Q84" s="37">
        <f t="shared" si="25"/>
        <v>0.005421245421245422</v>
      </c>
      <c r="R84" s="38">
        <f t="shared" si="26"/>
        <v>0.21142857142857147</v>
      </c>
      <c r="S84" s="38">
        <f t="shared" si="27"/>
        <v>0.43857142857142856</v>
      </c>
      <c r="T84" s="38">
        <f t="shared" si="28"/>
        <v>3.07</v>
      </c>
    </row>
    <row r="85" spans="1:20" s="38" customFormat="1" ht="19.5" customHeight="1">
      <c r="A85" s="34" t="s">
        <v>105</v>
      </c>
      <c r="B85" s="35" t="s">
        <v>264</v>
      </c>
      <c r="C85" s="23">
        <v>0.29</v>
      </c>
      <c r="D85" s="23">
        <v>0.27</v>
      </c>
      <c r="E85" s="23">
        <v>0.27</v>
      </c>
      <c r="F85" s="23">
        <v>0.41</v>
      </c>
      <c r="G85" s="23">
        <v>0.53</v>
      </c>
      <c r="H85" s="39">
        <v>0.52</v>
      </c>
      <c r="I85" s="39">
        <v>0.55</v>
      </c>
      <c r="J85" s="39">
        <f>I85+(I85*P85)</f>
        <v>0.6323203600936487</v>
      </c>
      <c r="K85" s="39">
        <f>J85+(J85*P85)</f>
        <v>0.7269618868890209</v>
      </c>
      <c r="L85" s="39">
        <f>K85+(K85*P85)</f>
        <v>0.8357687310764071</v>
      </c>
      <c r="M85" s="39">
        <f>L85+(L85*P85)</f>
        <v>0.96086106361681</v>
      </c>
      <c r="N85" s="39">
        <f>M85+(M85*P85)</f>
        <v>1.1046763886293591</v>
      </c>
      <c r="O85" s="39">
        <f t="shared" si="29"/>
        <v>1.2700170397183048</v>
      </c>
      <c r="P85" s="37">
        <f t="shared" si="30"/>
        <v>0.14967338198845198</v>
      </c>
      <c r="Q85" s="37">
        <f t="shared" si="25"/>
        <v>0.004975369458128082</v>
      </c>
      <c r="R85" s="38">
        <f t="shared" si="26"/>
        <v>0.14428571428571435</v>
      </c>
      <c r="S85" s="38">
        <f t="shared" si="27"/>
        <v>0.4057142857142857</v>
      </c>
      <c r="T85" s="38">
        <f t="shared" si="28"/>
        <v>2.84</v>
      </c>
    </row>
    <row r="86" spans="1:20" s="38" customFormat="1" ht="19.5" customHeight="1">
      <c r="A86" s="34" t="s">
        <v>106</v>
      </c>
      <c r="B86" s="35" t="s">
        <v>265</v>
      </c>
      <c r="C86" s="23">
        <v>1.27</v>
      </c>
      <c r="D86" s="23">
        <v>1.6</v>
      </c>
      <c r="E86" s="23">
        <v>3.04</v>
      </c>
      <c r="F86" s="23">
        <v>2.38</v>
      </c>
      <c r="G86" s="23">
        <v>1.67</v>
      </c>
      <c r="H86" s="39">
        <v>0.78</v>
      </c>
      <c r="I86" s="39">
        <v>0.49</v>
      </c>
      <c r="J86" s="39">
        <v>0.49</v>
      </c>
      <c r="K86" s="39">
        <v>0.49</v>
      </c>
      <c r="L86" s="39">
        <v>0.49</v>
      </c>
      <c r="M86" s="39">
        <v>0.49</v>
      </c>
      <c r="N86" s="39">
        <v>0.49</v>
      </c>
      <c r="O86" s="39">
        <v>0.49</v>
      </c>
      <c r="P86" s="37">
        <f t="shared" si="30"/>
        <v>-0.16033501490773275</v>
      </c>
      <c r="Q86" s="37">
        <f t="shared" si="25"/>
        <v>-0.008773903262092236</v>
      </c>
      <c r="R86" s="38">
        <f t="shared" si="26"/>
        <v>-1.114285714285714</v>
      </c>
      <c r="S86" s="38">
        <f t="shared" si="27"/>
        <v>1.604285714285714</v>
      </c>
      <c r="T86" s="38">
        <f t="shared" si="28"/>
        <v>11.229999999999999</v>
      </c>
    </row>
    <row r="87" spans="1:20" s="38" customFormat="1" ht="28.5">
      <c r="A87" s="34" t="s">
        <v>107</v>
      </c>
      <c r="B87" s="35" t="s">
        <v>216</v>
      </c>
      <c r="C87" s="23">
        <v>0.19</v>
      </c>
      <c r="D87" s="23">
        <v>0.25</v>
      </c>
      <c r="E87" s="23">
        <v>0.2</v>
      </c>
      <c r="F87" s="23">
        <v>0.18</v>
      </c>
      <c r="G87" s="23">
        <v>0.17</v>
      </c>
      <c r="H87" s="39">
        <v>0.15</v>
      </c>
      <c r="I87" s="39">
        <v>0.15</v>
      </c>
      <c r="J87" s="39">
        <f>I87</f>
        <v>0.15</v>
      </c>
      <c r="K87" s="39">
        <f aca="true" t="shared" si="31" ref="K87:O89">J87</f>
        <v>0.15</v>
      </c>
      <c r="L87" s="39">
        <f t="shared" si="31"/>
        <v>0.15</v>
      </c>
      <c r="M87" s="39">
        <f t="shared" si="31"/>
        <v>0.15</v>
      </c>
      <c r="N87" s="39">
        <f t="shared" si="31"/>
        <v>0.15</v>
      </c>
      <c r="O87" s="39">
        <f t="shared" si="31"/>
        <v>0.15</v>
      </c>
      <c r="P87" s="37">
        <f t="shared" si="30"/>
        <v>-0.06538365594545482</v>
      </c>
      <c r="Q87" s="37">
        <f t="shared" si="25"/>
        <v>-0.0018045112781954898</v>
      </c>
      <c r="R87" s="38">
        <f t="shared" si="26"/>
        <v>-0.03428571428571431</v>
      </c>
      <c r="S87" s="38">
        <f t="shared" si="27"/>
        <v>0.1842857142857143</v>
      </c>
      <c r="T87" s="38">
        <f t="shared" si="28"/>
        <v>1.29</v>
      </c>
    </row>
    <row r="88" spans="1:20" s="38" customFormat="1" ht="28.5">
      <c r="A88" s="34" t="s">
        <v>108</v>
      </c>
      <c r="B88" s="35" t="s">
        <v>266</v>
      </c>
      <c r="C88" s="23">
        <v>0.19</v>
      </c>
      <c r="D88" s="23">
        <v>0.24</v>
      </c>
      <c r="E88" s="23">
        <v>0.25</v>
      </c>
      <c r="F88" s="23">
        <v>0.22</v>
      </c>
      <c r="G88" s="23">
        <v>0.28</v>
      </c>
      <c r="H88" s="39">
        <v>0.12</v>
      </c>
      <c r="I88" s="39">
        <v>0.14</v>
      </c>
      <c r="J88" s="39">
        <v>0.14</v>
      </c>
      <c r="K88" s="39">
        <v>0.14</v>
      </c>
      <c r="L88" s="39">
        <v>0.14</v>
      </c>
      <c r="M88" s="39">
        <v>0.14</v>
      </c>
      <c r="N88" s="39">
        <v>0.14</v>
      </c>
      <c r="O88" s="39">
        <v>0.14</v>
      </c>
      <c r="P88" s="37">
        <f t="shared" si="30"/>
        <v>-0.0752043846868304</v>
      </c>
      <c r="Q88" s="37">
        <f t="shared" si="25"/>
        <v>-0.0034586466165413524</v>
      </c>
      <c r="R88" s="38">
        <f t="shared" si="26"/>
        <v>-0.0657142857142857</v>
      </c>
      <c r="S88" s="38">
        <f t="shared" si="27"/>
        <v>0.2057142857142857</v>
      </c>
      <c r="T88" s="38">
        <f t="shared" si="28"/>
        <v>1.44</v>
      </c>
    </row>
    <row r="89" spans="1:20" s="38" customFormat="1" ht="28.5">
      <c r="A89" s="34" t="s">
        <v>109</v>
      </c>
      <c r="B89" s="35" t="s">
        <v>217</v>
      </c>
      <c r="C89" s="23">
        <v>0.03</v>
      </c>
      <c r="D89" s="23">
        <v>0.01</v>
      </c>
      <c r="E89" s="23">
        <v>0.01</v>
      </c>
      <c r="F89" s="23">
        <v>0.02</v>
      </c>
      <c r="G89" s="23">
        <v>0</v>
      </c>
      <c r="H89" s="39">
        <v>0.01</v>
      </c>
      <c r="I89" s="39">
        <v>0.01</v>
      </c>
      <c r="J89" s="39">
        <f>I89</f>
        <v>0.01</v>
      </c>
      <c r="K89" s="39">
        <f t="shared" si="31"/>
        <v>0.01</v>
      </c>
      <c r="L89" s="39">
        <f t="shared" si="31"/>
        <v>0.01</v>
      </c>
      <c r="M89" s="39">
        <f t="shared" si="31"/>
        <v>0.01</v>
      </c>
      <c r="N89" s="39">
        <f t="shared" si="31"/>
        <v>0.01</v>
      </c>
      <c r="O89" s="39">
        <f t="shared" si="31"/>
        <v>0.01</v>
      </c>
      <c r="P89" s="37"/>
      <c r="Q89" s="37">
        <f t="shared" si="25"/>
        <v>-0.0009523809523809523</v>
      </c>
      <c r="R89" s="38">
        <f t="shared" si="26"/>
        <v>-0.0028571428571428567</v>
      </c>
      <c r="S89" s="38">
        <f t="shared" si="27"/>
        <v>0.012857142857142857</v>
      </c>
      <c r="T89" s="38">
        <f t="shared" si="28"/>
        <v>0.09</v>
      </c>
    </row>
    <row r="90" spans="1:20" s="38" customFormat="1" ht="28.5">
      <c r="A90" s="34" t="s">
        <v>203</v>
      </c>
      <c r="B90" s="35" t="s">
        <v>218</v>
      </c>
      <c r="C90" s="23">
        <v>0.02</v>
      </c>
      <c r="D90" s="23">
        <v>0.07</v>
      </c>
      <c r="E90" s="23">
        <v>0.04</v>
      </c>
      <c r="F90" s="23">
        <v>0.06</v>
      </c>
      <c r="G90" s="23">
        <v>0.11</v>
      </c>
      <c r="H90" s="39">
        <v>0.06</v>
      </c>
      <c r="I90" s="39">
        <v>0.06</v>
      </c>
      <c r="J90" s="39">
        <f>I90+(I90*P90)</f>
        <v>0.06675</v>
      </c>
      <c r="K90" s="39">
        <f>J90+(J90*P90)</f>
        <v>0.074259375</v>
      </c>
      <c r="L90" s="39">
        <f>K90+(K90*P90)</f>
        <v>0.08261355468750001</v>
      </c>
      <c r="M90" s="39">
        <f>L90+(L90*P90)</f>
        <v>0.09190757958984376</v>
      </c>
      <c r="N90" s="39">
        <f>M90+(M90*P90)</f>
        <v>0.10224718229370118</v>
      </c>
      <c r="O90" s="39">
        <f>N90+(N90*P90)</f>
        <v>0.11374999030174257</v>
      </c>
      <c r="P90" s="37">
        <v>0.1125</v>
      </c>
      <c r="Q90" s="37">
        <f t="shared" si="25"/>
        <v>0</v>
      </c>
      <c r="R90" s="38">
        <f t="shared" si="26"/>
        <v>0</v>
      </c>
      <c r="S90" s="38">
        <f t="shared" si="27"/>
        <v>0.06</v>
      </c>
      <c r="T90" s="38">
        <f t="shared" si="28"/>
        <v>0.42</v>
      </c>
    </row>
    <row r="91" spans="1:17" s="38" customFormat="1" ht="19.5" customHeight="1">
      <c r="A91" s="32" t="s">
        <v>110</v>
      </c>
      <c r="B91" s="35" t="s">
        <v>111</v>
      </c>
      <c r="C91" s="32">
        <f>SUM(C92+C93+C94+C96+C97+C99+C100+C101+C102+C103+C104+C105+C106+C107+C108+C112+C115+C120+C121+C122+C123+C124+C125+C128+C129+C130+C131+C132+C134+C135+C136+C137+C138+C139+C140+C141+C109+C126)</f>
        <v>131.21</v>
      </c>
      <c r="D91" s="32">
        <f aca="true" t="shared" si="32" ref="D91:O91">SUM(D92+D93+D94+D96+D97+D99+D100+D101+D102+D103+D104+D105+D106+D107+D108+D112+D115+D120+D121+D122+D123+D124+D125+D128+D129+D130+D131+D132+D134+D135+D136+D137+D138+D139+D140+D141+D109+D126)</f>
        <v>192.33000000000004</v>
      </c>
      <c r="E91" s="32">
        <f t="shared" si="32"/>
        <v>322.56999999999994</v>
      </c>
      <c r="F91" s="32">
        <f t="shared" si="32"/>
        <v>133.93</v>
      </c>
      <c r="G91" s="32">
        <f t="shared" si="32"/>
        <v>131.18</v>
      </c>
      <c r="H91" s="32">
        <f t="shared" si="32"/>
        <v>156.68999999999997</v>
      </c>
      <c r="I91" s="32">
        <f t="shared" si="32"/>
        <v>174.48999999999995</v>
      </c>
      <c r="J91" s="32">
        <f t="shared" si="32"/>
        <v>150.005528021044</v>
      </c>
      <c r="K91" s="32">
        <f t="shared" si="32"/>
        <v>160.12634958231183</v>
      </c>
      <c r="L91" s="32">
        <f t="shared" si="32"/>
        <v>171.95071404219487</v>
      </c>
      <c r="M91" s="32">
        <f t="shared" si="32"/>
        <v>211.34701104528648</v>
      </c>
      <c r="N91" s="32">
        <f t="shared" si="32"/>
        <v>276.4144499578417</v>
      </c>
      <c r="O91" s="32">
        <f t="shared" si="32"/>
        <v>316.27576244493275</v>
      </c>
      <c r="P91" s="49"/>
      <c r="Q91" s="37"/>
    </row>
    <row r="92" spans="1:17" s="38" customFormat="1" ht="19.5" customHeight="1">
      <c r="A92" s="34" t="s">
        <v>112</v>
      </c>
      <c r="B92" s="35" t="s">
        <v>219</v>
      </c>
      <c r="C92" s="23">
        <v>1.64</v>
      </c>
      <c r="D92" s="23">
        <v>0.71</v>
      </c>
      <c r="E92" s="23">
        <v>0.4</v>
      </c>
      <c r="F92" s="23">
        <v>0.51</v>
      </c>
      <c r="G92" s="23">
        <v>0.46</v>
      </c>
      <c r="H92" s="39">
        <v>0.45</v>
      </c>
      <c r="I92" s="39">
        <v>0.53</v>
      </c>
      <c r="J92" s="39">
        <f aca="true" t="shared" si="33" ref="J92:O92">I92</f>
        <v>0.53</v>
      </c>
      <c r="K92" s="39">
        <f t="shared" si="33"/>
        <v>0.53</v>
      </c>
      <c r="L92" s="39">
        <f t="shared" si="33"/>
        <v>0.53</v>
      </c>
      <c r="M92" s="39">
        <f t="shared" si="33"/>
        <v>0.53</v>
      </c>
      <c r="N92" s="39">
        <f t="shared" si="33"/>
        <v>0.53</v>
      </c>
      <c r="O92" s="39">
        <f t="shared" si="33"/>
        <v>0.53</v>
      </c>
      <c r="P92" s="49"/>
      <c r="Q92" s="37"/>
    </row>
    <row r="93" spans="1:20" s="38" customFormat="1" ht="19.5" customHeight="1">
      <c r="A93" s="34" t="s">
        <v>113</v>
      </c>
      <c r="B93" s="35" t="s">
        <v>220</v>
      </c>
      <c r="C93" s="23">
        <v>0.43</v>
      </c>
      <c r="D93" s="23">
        <v>0.3</v>
      </c>
      <c r="E93" s="23">
        <v>0.32</v>
      </c>
      <c r="F93" s="23">
        <v>0.38</v>
      </c>
      <c r="G93" s="23">
        <v>0.48</v>
      </c>
      <c r="H93" s="39">
        <v>0.44</v>
      </c>
      <c r="I93" s="39">
        <v>0.52</v>
      </c>
      <c r="J93" s="39">
        <f>I93+(I93*P93)</f>
        <v>0.536734063394402</v>
      </c>
      <c r="K93" s="39">
        <v>0.56</v>
      </c>
      <c r="L93" s="39">
        <v>0.59</v>
      </c>
      <c r="M93" s="39">
        <v>0.61</v>
      </c>
      <c r="N93" s="39">
        <v>0.64</v>
      </c>
      <c r="O93" s="39">
        <f>N93+(N93*P93)</f>
        <v>0.6605957703315717</v>
      </c>
      <c r="P93" s="37">
        <f>((I93/C93)^(1/(7-1))-1)</f>
        <v>0.03218089114308076</v>
      </c>
      <c r="Q93" s="37">
        <f>R93/(C93*100)</f>
        <v>0.0025581395348837207</v>
      </c>
      <c r="R93" s="38">
        <f>I93-S93</f>
        <v>0.10999999999999999</v>
      </c>
      <c r="S93" s="38">
        <f>T93/7</f>
        <v>0.41000000000000003</v>
      </c>
      <c r="T93" s="38">
        <f>SUM(C93:I93)</f>
        <v>2.87</v>
      </c>
    </row>
    <row r="94" spans="1:17" s="38" customFormat="1" ht="28.5">
      <c r="A94" s="34" t="s">
        <v>114</v>
      </c>
      <c r="B94" s="35" t="s">
        <v>243</v>
      </c>
      <c r="C94" s="36">
        <v>0</v>
      </c>
      <c r="D94" s="36">
        <v>0</v>
      </c>
      <c r="E94" s="36">
        <v>0</v>
      </c>
      <c r="F94" s="36">
        <v>0</v>
      </c>
      <c r="G94" s="36">
        <v>0</v>
      </c>
      <c r="H94" s="36">
        <v>0</v>
      </c>
      <c r="I94" s="36">
        <v>0</v>
      </c>
      <c r="J94" s="36">
        <v>0</v>
      </c>
      <c r="K94" s="36">
        <v>0</v>
      </c>
      <c r="L94" s="36">
        <v>0</v>
      </c>
      <c r="M94" s="36">
        <v>0</v>
      </c>
      <c r="N94" s="36">
        <v>0</v>
      </c>
      <c r="O94" s="36">
        <v>0</v>
      </c>
      <c r="P94" s="49"/>
      <c r="Q94" s="37"/>
    </row>
    <row r="95" spans="1:17" s="38" customFormat="1" ht="19.5" customHeight="1">
      <c r="A95" s="23">
        <v>102</v>
      </c>
      <c r="B95" s="35" t="s">
        <v>115</v>
      </c>
      <c r="C95" s="36">
        <v>0</v>
      </c>
      <c r="D95" s="36">
        <v>0</v>
      </c>
      <c r="E95" s="36">
        <v>0</v>
      </c>
      <c r="F95" s="36">
        <v>0</v>
      </c>
      <c r="G95" s="36">
        <v>0</v>
      </c>
      <c r="H95" s="36">
        <v>0</v>
      </c>
      <c r="I95" s="36">
        <v>0</v>
      </c>
      <c r="J95" s="36">
        <v>0</v>
      </c>
      <c r="K95" s="36">
        <v>0</v>
      </c>
      <c r="L95" s="36">
        <v>0</v>
      </c>
      <c r="M95" s="36">
        <v>0</v>
      </c>
      <c r="N95" s="36">
        <v>0</v>
      </c>
      <c r="O95" s="36">
        <v>0</v>
      </c>
      <c r="P95" s="49"/>
      <c r="Q95" s="37"/>
    </row>
    <row r="96" spans="1:20" s="38" customFormat="1" ht="19.5" customHeight="1">
      <c r="A96" s="34" t="s">
        <v>116</v>
      </c>
      <c r="B96" s="35" t="s">
        <v>267</v>
      </c>
      <c r="C96" s="23">
        <v>0.02</v>
      </c>
      <c r="D96" s="23">
        <v>0.01</v>
      </c>
      <c r="E96" s="23">
        <v>0.02</v>
      </c>
      <c r="F96" s="23">
        <v>0.02</v>
      </c>
      <c r="G96" s="23">
        <v>0.05</v>
      </c>
      <c r="H96" s="39">
        <v>0.02</v>
      </c>
      <c r="I96" s="39">
        <v>0.02</v>
      </c>
      <c r="J96" s="39">
        <f>I96+(I96*P96)</f>
        <v>0.02</v>
      </c>
      <c r="K96" s="39">
        <f>J96+(J96*P96)</f>
        <v>0.02</v>
      </c>
      <c r="L96" s="39">
        <f>K96+(K96*P96)</f>
        <v>0.02</v>
      </c>
      <c r="M96" s="39">
        <f>L96+(L96*P96)</f>
        <v>0.02</v>
      </c>
      <c r="N96" s="39">
        <f>M96+(M96*P96)</f>
        <v>0.02</v>
      </c>
      <c r="O96" s="39">
        <f>N96+(N96*P96)</f>
        <v>0.02</v>
      </c>
      <c r="P96" s="37">
        <f>((I96/C96)^(1/(7-1))-1)</f>
        <v>0</v>
      </c>
      <c r="Q96" s="37">
        <f>R96/(C96*100)</f>
        <v>-0.0014285714285714284</v>
      </c>
      <c r="R96" s="38">
        <f>I96-S96</f>
        <v>-0.0028571428571428567</v>
      </c>
      <c r="S96" s="38">
        <f>T96/7</f>
        <v>0.022857142857142857</v>
      </c>
      <c r="T96" s="38">
        <f>SUM(C96:I96)</f>
        <v>0.16</v>
      </c>
    </row>
    <row r="97" spans="1:20" s="38" customFormat="1" ht="28.5">
      <c r="A97" s="34" t="s">
        <v>117</v>
      </c>
      <c r="B97" s="35" t="s">
        <v>244</v>
      </c>
      <c r="C97" s="23">
        <v>10.95</v>
      </c>
      <c r="D97" s="23">
        <v>11.26</v>
      </c>
      <c r="E97" s="23">
        <v>8.79</v>
      </c>
      <c r="F97" s="23">
        <v>12.25</v>
      </c>
      <c r="G97" s="23">
        <v>12.53</v>
      </c>
      <c r="H97" s="39">
        <v>13.48</v>
      </c>
      <c r="I97" s="39">
        <v>15.35</v>
      </c>
      <c r="J97" s="39">
        <f>I97+(I97*P97)</f>
        <v>16.327004859012263</v>
      </c>
      <c r="K97" s="39">
        <f>J97+(J97*P97)</f>
        <v>17.366194636235182</v>
      </c>
      <c r="L97" s="39">
        <f>K97+(K97*P97)</f>
        <v>18.471527309991174</v>
      </c>
      <c r="M97" s="39">
        <f>L97+(L97*P97)</f>
        <v>19.647212778084928</v>
      </c>
      <c r="N97" s="39">
        <f>M97+(M97*P97)</f>
        <v>20.89772889210687</v>
      </c>
      <c r="O97" s="39">
        <f>N97+(N97*P97)</f>
        <v>22.227838512296405</v>
      </c>
      <c r="P97" s="37">
        <f>(LOGEST(C97:I97)*100-100)/100</f>
        <v>0.06364852501708555</v>
      </c>
      <c r="Q97" s="37">
        <f>R97/(C97*100)</f>
        <v>0.0029797782126549256</v>
      </c>
      <c r="R97" s="38">
        <f>I97-S97</f>
        <v>3.2628571428571433</v>
      </c>
      <c r="S97" s="38">
        <f>T97/7</f>
        <v>12.087142857142856</v>
      </c>
      <c r="T97" s="38">
        <f>SUM(C97:I97)</f>
        <v>84.61</v>
      </c>
    </row>
    <row r="98" spans="1:20" s="38" customFormat="1" ht="28.5">
      <c r="A98" s="23">
        <v>101</v>
      </c>
      <c r="B98" s="35" t="s">
        <v>268</v>
      </c>
      <c r="C98" s="23">
        <v>1.53</v>
      </c>
      <c r="D98" s="23">
        <v>1.61</v>
      </c>
      <c r="E98" s="23">
        <v>1.59</v>
      </c>
      <c r="F98" s="23">
        <v>2.76</v>
      </c>
      <c r="G98" s="23">
        <v>3.56</v>
      </c>
      <c r="H98" s="39">
        <f>0.42+2.55</f>
        <v>2.9699999999999998</v>
      </c>
      <c r="I98" s="39">
        <f>0.5+3.27</f>
        <v>3.77</v>
      </c>
      <c r="J98" s="39">
        <v>4.46</v>
      </c>
      <c r="K98" s="39">
        <v>5.29</v>
      </c>
      <c r="L98" s="39">
        <v>6.26</v>
      </c>
      <c r="M98" s="39">
        <v>7.42</v>
      </c>
      <c r="N98" s="39">
        <v>8.78</v>
      </c>
      <c r="O98" s="39">
        <v>10.4</v>
      </c>
      <c r="P98" s="37">
        <f>(LOGEST(C98:I98)*100-100)/100</f>
        <v>0.18429370451336552</v>
      </c>
      <c r="Q98" s="37">
        <f>R98/(C98*100)</f>
        <v>0.008029878618113913</v>
      </c>
      <c r="R98" s="38">
        <f>I98-S98</f>
        <v>1.2285714285714286</v>
      </c>
      <c r="S98" s="38">
        <f>T98/7</f>
        <v>2.5414285714285714</v>
      </c>
      <c r="T98" s="38">
        <f>SUM(C98:I98)</f>
        <v>17.79</v>
      </c>
    </row>
    <row r="99" spans="1:20" s="38" customFormat="1" ht="19.5" customHeight="1">
      <c r="A99" s="34" t="s">
        <v>118</v>
      </c>
      <c r="B99" s="35" t="s">
        <v>269</v>
      </c>
      <c r="C99" s="23">
        <v>2.1</v>
      </c>
      <c r="D99" s="23">
        <v>2.35</v>
      </c>
      <c r="E99" s="23">
        <v>1.8</v>
      </c>
      <c r="F99" s="23">
        <v>2.9</v>
      </c>
      <c r="G99" s="23">
        <v>2.59</v>
      </c>
      <c r="H99" s="39">
        <v>3.2</v>
      </c>
      <c r="I99" s="39">
        <v>3.5</v>
      </c>
      <c r="J99" s="39">
        <f>I99+(I99*P99)</f>
        <v>3.8287647060739087</v>
      </c>
      <c r="K99" s="39">
        <f>J99+(J99*P99)</f>
        <v>4.188411192707778</v>
      </c>
      <c r="L99" s="39">
        <f>K99+(K99*P99)</f>
        <v>4.581840271189847</v>
      </c>
      <c r="M99" s="39">
        <f>L99+(L99*P99)</f>
        <v>5.012225234057084</v>
      </c>
      <c r="N99" s="39">
        <f>M99+(M99*P99)</f>
        <v>5.483037450014514</v>
      </c>
      <c r="O99" s="39">
        <f>N99+(N99*P99)</f>
        <v>5.998074363056301</v>
      </c>
      <c r="P99" s="37">
        <f>(LOGEST(C99:I99)*100-100)/100</f>
        <v>0.09393277316397387</v>
      </c>
      <c r="Q99" s="37">
        <f>R99/(C99*100)</f>
        <v>0.004122448979591836</v>
      </c>
      <c r="R99" s="38">
        <f>I99-S99</f>
        <v>0.8657142857142857</v>
      </c>
      <c r="S99" s="38">
        <f>T99/7</f>
        <v>2.6342857142857143</v>
      </c>
      <c r="T99" s="38">
        <f>SUM(C99:I99)</f>
        <v>18.44</v>
      </c>
    </row>
    <row r="100" spans="1:20" s="38" customFormat="1" ht="28.5">
      <c r="A100" s="34" t="s">
        <v>119</v>
      </c>
      <c r="B100" s="35" t="s">
        <v>221</v>
      </c>
      <c r="C100" s="23">
        <v>0.07</v>
      </c>
      <c r="D100" s="23">
        <v>0.07</v>
      </c>
      <c r="E100" s="23">
        <v>0.08</v>
      </c>
      <c r="F100" s="23">
        <v>0.11</v>
      </c>
      <c r="G100" s="23">
        <v>0.16</v>
      </c>
      <c r="H100" s="39">
        <v>0.07</v>
      </c>
      <c r="I100" s="39">
        <v>0.07</v>
      </c>
      <c r="J100" s="39">
        <f>I100</f>
        <v>0.07</v>
      </c>
      <c r="K100" s="39">
        <f aca="true" t="shared" si="34" ref="K100:O102">J100</f>
        <v>0.07</v>
      </c>
      <c r="L100" s="39">
        <f t="shared" si="34"/>
        <v>0.07</v>
      </c>
      <c r="M100" s="39">
        <f t="shared" si="34"/>
        <v>0.07</v>
      </c>
      <c r="N100" s="39">
        <f t="shared" si="34"/>
        <v>0.07</v>
      </c>
      <c r="O100" s="39">
        <f t="shared" si="34"/>
        <v>0.07</v>
      </c>
      <c r="P100" s="37">
        <f>(LOGEST(C100:I100)*100-100)/100</f>
        <v>0.025064211965874675</v>
      </c>
      <c r="Q100" s="37">
        <f>R100/(C100*100)</f>
        <v>-0.002857142857142857</v>
      </c>
      <c r="R100" s="38">
        <f>I100-S100</f>
        <v>-0.020000000000000004</v>
      </c>
      <c r="S100" s="38">
        <f>T100/7</f>
        <v>0.09000000000000001</v>
      </c>
      <c r="T100" s="38">
        <f>SUM(C100:I100)</f>
        <v>0.6300000000000001</v>
      </c>
    </row>
    <row r="101" spans="1:17" s="38" customFormat="1" ht="28.5">
      <c r="A101" s="34" t="s">
        <v>120</v>
      </c>
      <c r="B101" s="35" t="s">
        <v>121</v>
      </c>
      <c r="C101" s="36">
        <v>0</v>
      </c>
      <c r="D101" s="36">
        <v>0</v>
      </c>
      <c r="E101" s="36">
        <v>0</v>
      </c>
      <c r="F101" s="36">
        <v>0</v>
      </c>
      <c r="G101" s="36">
        <v>0</v>
      </c>
      <c r="H101" s="36">
        <v>0</v>
      </c>
      <c r="I101" s="36">
        <v>0</v>
      </c>
      <c r="J101" s="36">
        <v>0</v>
      </c>
      <c r="K101" s="36">
        <v>0</v>
      </c>
      <c r="L101" s="36">
        <v>0</v>
      </c>
      <c r="M101" s="36">
        <v>0</v>
      </c>
      <c r="N101" s="36">
        <v>0</v>
      </c>
      <c r="O101" s="36">
        <v>0</v>
      </c>
      <c r="P101" s="49"/>
      <c r="Q101" s="37"/>
    </row>
    <row r="102" spans="1:17" s="38" customFormat="1" ht="19.5" customHeight="1">
      <c r="A102" s="34" t="s">
        <v>122</v>
      </c>
      <c r="B102" s="35" t="s">
        <v>222</v>
      </c>
      <c r="C102" s="36">
        <v>0.02</v>
      </c>
      <c r="D102" s="36">
        <v>0.01</v>
      </c>
      <c r="E102" s="36">
        <v>0.01</v>
      </c>
      <c r="F102" s="36">
        <v>0.04</v>
      </c>
      <c r="G102" s="36">
        <v>0</v>
      </c>
      <c r="H102" s="50"/>
      <c r="I102" s="50"/>
      <c r="J102" s="39">
        <f>I102</f>
        <v>0</v>
      </c>
      <c r="K102" s="39">
        <f t="shared" si="34"/>
        <v>0</v>
      </c>
      <c r="L102" s="39">
        <f t="shared" si="34"/>
        <v>0</v>
      </c>
      <c r="M102" s="39">
        <f t="shared" si="34"/>
        <v>0</v>
      </c>
      <c r="N102" s="39">
        <f t="shared" si="34"/>
        <v>0</v>
      </c>
      <c r="O102" s="39">
        <f t="shared" si="34"/>
        <v>0</v>
      </c>
      <c r="P102" s="49"/>
      <c r="Q102" s="37"/>
    </row>
    <row r="103" spans="1:17" s="38" customFormat="1" ht="28.5">
      <c r="A103" s="34" t="s">
        <v>123</v>
      </c>
      <c r="B103" s="35" t="s">
        <v>124</v>
      </c>
      <c r="C103" s="36">
        <v>0</v>
      </c>
      <c r="D103" s="36">
        <v>0</v>
      </c>
      <c r="E103" s="36">
        <v>0</v>
      </c>
      <c r="F103" s="36">
        <v>0</v>
      </c>
      <c r="G103" s="36">
        <v>0</v>
      </c>
      <c r="H103" s="36">
        <v>0</v>
      </c>
      <c r="I103" s="36">
        <v>0</v>
      </c>
      <c r="J103" s="36">
        <v>0</v>
      </c>
      <c r="K103" s="36">
        <v>0</v>
      </c>
      <c r="L103" s="36">
        <v>0</v>
      </c>
      <c r="M103" s="36">
        <v>0</v>
      </c>
      <c r="N103" s="36">
        <v>0</v>
      </c>
      <c r="O103" s="36">
        <v>0</v>
      </c>
      <c r="P103" s="49"/>
      <c r="Q103" s="37"/>
    </row>
    <row r="104" spans="1:17" s="38" customFormat="1" ht="19.5" customHeight="1">
      <c r="A104" s="34" t="s">
        <v>125</v>
      </c>
      <c r="B104" s="35" t="s">
        <v>126</v>
      </c>
      <c r="C104" s="36">
        <v>0</v>
      </c>
      <c r="D104" s="36">
        <v>0</v>
      </c>
      <c r="E104" s="36">
        <v>0</v>
      </c>
      <c r="F104" s="36">
        <v>0</v>
      </c>
      <c r="G104" s="36">
        <v>0</v>
      </c>
      <c r="H104" s="36">
        <v>0</v>
      </c>
      <c r="I104" s="36">
        <v>0</v>
      </c>
      <c r="J104" s="36">
        <v>0</v>
      </c>
      <c r="K104" s="36">
        <v>0</v>
      </c>
      <c r="L104" s="36">
        <v>0</v>
      </c>
      <c r="M104" s="36">
        <v>0</v>
      </c>
      <c r="N104" s="36">
        <v>0</v>
      </c>
      <c r="O104" s="36">
        <v>0</v>
      </c>
      <c r="P104" s="49"/>
      <c r="Q104" s="37"/>
    </row>
    <row r="105" spans="1:17" s="38" customFormat="1" ht="28.5">
      <c r="A105" s="34" t="s">
        <v>127</v>
      </c>
      <c r="B105" s="35" t="s">
        <v>223</v>
      </c>
      <c r="C105" s="23">
        <v>0.99</v>
      </c>
      <c r="D105" s="23">
        <v>1.24</v>
      </c>
      <c r="E105" s="23">
        <v>2.56</v>
      </c>
      <c r="F105" s="23">
        <v>1.17</v>
      </c>
      <c r="G105" s="23">
        <v>1.26</v>
      </c>
      <c r="H105" s="39">
        <v>1.2</v>
      </c>
      <c r="I105" s="39">
        <v>1.5</v>
      </c>
      <c r="J105" s="39">
        <f aca="true" t="shared" si="35" ref="J105:O105">I105</f>
        <v>1.5</v>
      </c>
      <c r="K105" s="39">
        <f t="shared" si="35"/>
        <v>1.5</v>
      </c>
      <c r="L105" s="39">
        <f t="shared" si="35"/>
        <v>1.5</v>
      </c>
      <c r="M105" s="39">
        <f t="shared" si="35"/>
        <v>1.5</v>
      </c>
      <c r="N105" s="39">
        <f t="shared" si="35"/>
        <v>1.5</v>
      </c>
      <c r="O105" s="39">
        <f t="shared" si="35"/>
        <v>1.5</v>
      </c>
      <c r="P105" s="49"/>
      <c r="Q105" s="37"/>
    </row>
    <row r="106" spans="1:17" s="38" customFormat="1" ht="19.5" customHeight="1">
      <c r="A106" s="34" t="s">
        <v>128</v>
      </c>
      <c r="B106" s="35" t="s">
        <v>129</v>
      </c>
      <c r="C106" s="36">
        <v>0</v>
      </c>
      <c r="D106" s="36">
        <v>0</v>
      </c>
      <c r="E106" s="36">
        <v>0</v>
      </c>
      <c r="F106" s="36">
        <v>0</v>
      </c>
      <c r="G106" s="36">
        <v>0</v>
      </c>
      <c r="H106" s="36">
        <v>0</v>
      </c>
      <c r="I106" s="36">
        <v>0</v>
      </c>
      <c r="J106" s="36">
        <v>0</v>
      </c>
      <c r="K106" s="36">
        <v>0</v>
      </c>
      <c r="L106" s="36">
        <v>0</v>
      </c>
      <c r="M106" s="36">
        <v>0</v>
      </c>
      <c r="N106" s="36">
        <v>0</v>
      </c>
      <c r="O106" s="36">
        <v>0</v>
      </c>
      <c r="P106" s="49"/>
      <c r="Q106" s="37"/>
    </row>
    <row r="107" spans="1:17" s="38" customFormat="1" ht="28.5">
      <c r="A107" s="34" t="s">
        <v>130</v>
      </c>
      <c r="B107" s="35" t="s">
        <v>131</v>
      </c>
      <c r="C107" s="36">
        <v>0</v>
      </c>
      <c r="D107" s="36">
        <v>0</v>
      </c>
      <c r="E107" s="36">
        <v>0</v>
      </c>
      <c r="F107" s="36">
        <v>0</v>
      </c>
      <c r="G107" s="36">
        <v>0</v>
      </c>
      <c r="H107" s="36">
        <v>0</v>
      </c>
      <c r="I107" s="36">
        <v>0</v>
      </c>
      <c r="J107" s="36">
        <v>0</v>
      </c>
      <c r="K107" s="36">
        <v>0</v>
      </c>
      <c r="L107" s="36">
        <v>0</v>
      </c>
      <c r="M107" s="36">
        <v>0</v>
      </c>
      <c r="N107" s="36">
        <v>0</v>
      </c>
      <c r="O107" s="36">
        <v>0</v>
      </c>
      <c r="P107" s="49"/>
      <c r="Q107" s="37"/>
    </row>
    <row r="108" spans="1:17" s="38" customFormat="1" ht="28.5">
      <c r="A108" s="34" t="s">
        <v>132</v>
      </c>
      <c r="B108" s="35" t="s">
        <v>133</v>
      </c>
      <c r="C108" s="36">
        <v>0</v>
      </c>
      <c r="D108" s="36">
        <v>0</v>
      </c>
      <c r="E108" s="36">
        <v>0</v>
      </c>
      <c r="F108" s="36">
        <v>0</v>
      </c>
      <c r="G108" s="36">
        <v>0</v>
      </c>
      <c r="H108" s="36">
        <v>0</v>
      </c>
      <c r="I108" s="36">
        <v>0</v>
      </c>
      <c r="J108" s="36">
        <v>0</v>
      </c>
      <c r="K108" s="36">
        <v>0</v>
      </c>
      <c r="L108" s="36">
        <v>0</v>
      </c>
      <c r="M108" s="36">
        <v>0</v>
      </c>
      <c r="N108" s="36">
        <v>0</v>
      </c>
      <c r="O108" s="36">
        <v>0</v>
      </c>
      <c r="P108" s="49"/>
      <c r="Q108" s="37"/>
    </row>
    <row r="109" spans="1:17" s="38" customFormat="1" ht="28.5">
      <c r="A109" s="34" t="s">
        <v>190</v>
      </c>
      <c r="B109" s="35" t="s">
        <v>245</v>
      </c>
      <c r="C109" s="36">
        <v>0</v>
      </c>
      <c r="D109" s="36">
        <v>0</v>
      </c>
      <c r="E109" s="36">
        <v>0</v>
      </c>
      <c r="F109" s="36">
        <v>0</v>
      </c>
      <c r="G109" s="36">
        <v>0</v>
      </c>
      <c r="H109" s="36">
        <v>0</v>
      </c>
      <c r="I109" s="36">
        <v>0</v>
      </c>
      <c r="J109" s="36">
        <v>0</v>
      </c>
      <c r="K109" s="36">
        <v>0</v>
      </c>
      <c r="L109" s="36">
        <v>0</v>
      </c>
      <c r="M109" s="36">
        <v>0</v>
      </c>
      <c r="N109" s="36">
        <v>0</v>
      </c>
      <c r="O109" s="36">
        <v>0</v>
      </c>
      <c r="P109" s="49"/>
      <c r="Q109" s="37"/>
    </row>
    <row r="110" spans="1:17" s="38" customFormat="1" ht="19.5" customHeight="1">
      <c r="A110" s="34" t="s">
        <v>76</v>
      </c>
      <c r="B110" s="35" t="s">
        <v>134</v>
      </c>
      <c r="C110" s="36">
        <v>0</v>
      </c>
      <c r="D110" s="36">
        <v>0</v>
      </c>
      <c r="E110" s="36">
        <v>0</v>
      </c>
      <c r="F110" s="36">
        <v>0</v>
      </c>
      <c r="G110" s="36">
        <v>0</v>
      </c>
      <c r="H110" s="36">
        <v>0</v>
      </c>
      <c r="I110" s="36">
        <v>0</v>
      </c>
      <c r="J110" s="36">
        <v>0</v>
      </c>
      <c r="K110" s="36">
        <v>0</v>
      </c>
      <c r="L110" s="36">
        <v>0</v>
      </c>
      <c r="M110" s="36">
        <v>0</v>
      </c>
      <c r="N110" s="36">
        <v>0</v>
      </c>
      <c r="O110" s="36">
        <v>0</v>
      </c>
      <c r="P110" s="49"/>
      <c r="Q110" s="37"/>
    </row>
    <row r="111" spans="1:17" s="38" customFormat="1" ht="19.5" customHeight="1">
      <c r="A111" s="34" t="s">
        <v>78</v>
      </c>
      <c r="B111" s="35" t="s">
        <v>135</v>
      </c>
      <c r="C111" s="36">
        <v>0</v>
      </c>
      <c r="D111" s="36">
        <v>0</v>
      </c>
      <c r="E111" s="36">
        <v>0</v>
      </c>
      <c r="F111" s="36">
        <v>0</v>
      </c>
      <c r="G111" s="36">
        <v>0</v>
      </c>
      <c r="H111" s="36">
        <v>0</v>
      </c>
      <c r="I111" s="36">
        <v>0</v>
      </c>
      <c r="J111" s="36">
        <v>0</v>
      </c>
      <c r="K111" s="36">
        <v>0</v>
      </c>
      <c r="L111" s="36">
        <v>0</v>
      </c>
      <c r="M111" s="36">
        <v>0</v>
      </c>
      <c r="N111" s="36">
        <v>0</v>
      </c>
      <c r="O111" s="36">
        <v>0</v>
      </c>
      <c r="P111" s="49"/>
      <c r="Q111" s="37"/>
    </row>
    <row r="112" spans="1:17" s="38" customFormat="1" ht="28.5">
      <c r="A112" s="34" t="s">
        <v>189</v>
      </c>
      <c r="B112" s="35" t="s">
        <v>246</v>
      </c>
      <c r="C112" s="36">
        <f>SUM(C113:C114)</f>
        <v>0</v>
      </c>
      <c r="D112" s="36">
        <v>0</v>
      </c>
      <c r="E112" s="36">
        <v>0</v>
      </c>
      <c r="F112" s="36">
        <v>0</v>
      </c>
      <c r="G112" s="36">
        <v>0</v>
      </c>
      <c r="H112" s="36">
        <f>SUM(H113:H114)</f>
        <v>0</v>
      </c>
      <c r="I112" s="36">
        <v>0</v>
      </c>
      <c r="J112" s="36">
        <v>0</v>
      </c>
      <c r="K112" s="36">
        <v>0</v>
      </c>
      <c r="L112" s="36">
        <v>0</v>
      </c>
      <c r="M112" s="36">
        <f>SUM(M113:M114)</f>
        <v>0</v>
      </c>
      <c r="N112" s="36">
        <v>0</v>
      </c>
      <c r="O112" s="36">
        <v>0</v>
      </c>
      <c r="P112" s="49"/>
      <c r="Q112" s="37"/>
    </row>
    <row r="113" spans="1:17" s="38" customFormat="1" ht="19.5" customHeight="1">
      <c r="A113" s="34" t="s">
        <v>76</v>
      </c>
      <c r="B113" s="35" t="s">
        <v>134</v>
      </c>
      <c r="C113" s="36"/>
      <c r="D113" s="36">
        <v>0</v>
      </c>
      <c r="E113" s="36">
        <v>0</v>
      </c>
      <c r="F113" s="36">
        <v>0</v>
      </c>
      <c r="G113" s="36">
        <v>0</v>
      </c>
      <c r="H113" s="36"/>
      <c r="I113" s="36">
        <v>0</v>
      </c>
      <c r="J113" s="36">
        <v>0</v>
      </c>
      <c r="K113" s="36">
        <v>0</v>
      </c>
      <c r="L113" s="36">
        <v>0</v>
      </c>
      <c r="M113" s="36"/>
      <c r="N113" s="36">
        <v>0</v>
      </c>
      <c r="O113" s="36">
        <v>0</v>
      </c>
      <c r="P113" s="49"/>
      <c r="Q113" s="37"/>
    </row>
    <row r="114" spans="1:17" s="38" customFormat="1" ht="19.5" customHeight="1">
      <c r="A114" s="34" t="s">
        <v>78</v>
      </c>
      <c r="B114" s="35" t="s">
        <v>135</v>
      </c>
      <c r="C114" s="36"/>
      <c r="D114" s="36">
        <v>0</v>
      </c>
      <c r="E114" s="36">
        <v>0</v>
      </c>
      <c r="F114" s="36">
        <v>0</v>
      </c>
      <c r="G114" s="36">
        <v>0</v>
      </c>
      <c r="H114" s="36"/>
      <c r="I114" s="36">
        <v>0</v>
      </c>
      <c r="J114" s="36">
        <v>0</v>
      </c>
      <c r="K114" s="36">
        <v>0</v>
      </c>
      <c r="L114" s="36">
        <v>0</v>
      </c>
      <c r="M114" s="36"/>
      <c r="N114" s="36">
        <v>0</v>
      </c>
      <c r="O114" s="36">
        <v>0</v>
      </c>
      <c r="P114" s="49"/>
      <c r="Q114" s="37"/>
    </row>
    <row r="115" spans="1:17" s="38" customFormat="1" ht="28.5">
      <c r="A115" s="34" t="s">
        <v>136</v>
      </c>
      <c r="B115" s="35" t="s">
        <v>247</v>
      </c>
      <c r="C115" s="23">
        <v>0.16</v>
      </c>
      <c r="D115" s="23">
        <v>1.38</v>
      </c>
      <c r="E115" s="23">
        <v>0.36</v>
      </c>
      <c r="F115" s="23">
        <v>0.29</v>
      </c>
      <c r="G115" s="23">
        <v>0.28</v>
      </c>
      <c r="H115" s="39">
        <v>0.3</v>
      </c>
      <c r="I115" s="39">
        <v>0.3</v>
      </c>
      <c r="J115" s="39">
        <f aca="true" t="shared" si="36" ref="J115:O115">I115</f>
        <v>0.3</v>
      </c>
      <c r="K115" s="39">
        <f t="shared" si="36"/>
        <v>0.3</v>
      </c>
      <c r="L115" s="39">
        <f t="shared" si="36"/>
        <v>0.3</v>
      </c>
      <c r="M115" s="39">
        <f t="shared" si="36"/>
        <v>0.3</v>
      </c>
      <c r="N115" s="39">
        <f t="shared" si="36"/>
        <v>0.3</v>
      </c>
      <c r="O115" s="39">
        <f t="shared" si="36"/>
        <v>0.3</v>
      </c>
      <c r="P115" s="49"/>
      <c r="Q115" s="37"/>
    </row>
    <row r="116" spans="1:17" s="38" customFormat="1" ht="19.5" customHeight="1">
      <c r="A116" s="34" t="s">
        <v>76</v>
      </c>
      <c r="B116" s="35" t="s">
        <v>137</v>
      </c>
      <c r="C116" s="36">
        <v>0</v>
      </c>
      <c r="D116" s="36">
        <v>0</v>
      </c>
      <c r="E116" s="36">
        <v>0</v>
      </c>
      <c r="F116" s="36">
        <v>0</v>
      </c>
      <c r="G116" s="36">
        <v>0</v>
      </c>
      <c r="H116" s="36">
        <v>0</v>
      </c>
      <c r="I116" s="36">
        <v>0</v>
      </c>
      <c r="J116" s="36">
        <v>0</v>
      </c>
      <c r="K116" s="36">
        <v>0</v>
      </c>
      <c r="L116" s="36">
        <v>0</v>
      </c>
      <c r="M116" s="36">
        <v>0</v>
      </c>
      <c r="N116" s="36">
        <v>0</v>
      </c>
      <c r="O116" s="36">
        <v>0</v>
      </c>
      <c r="P116" s="49"/>
      <c r="Q116" s="37"/>
    </row>
    <row r="117" spans="1:17" s="38" customFormat="1" ht="19.5" customHeight="1">
      <c r="A117" s="34" t="s">
        <v>78</v>
      </c>
      <c r="B117" s="35" t="s">
        <v>138</v>
      </c>
      <c r="C117" s="36">
        <v>0</v>
      </c>
      <c r="D117" s="36">
        <v>0</v>
      </c>
      <c r="E117" s="36">
        <v>0</v>
      </c>
      <c r="F117" s="36">
        <v>0</v>
      </c>
      <c r="G117" s="36">
        <v>0</v>
      </c>
      <c r="H117" s="36">
        <v>0</v>
      </c>
      <c r="I117" s="36">
        <v>0</v>
      </c>
      <c r="J117" s="36">
        <v>0</v>
      </c>
      <c r="K117" s="36">
        <v>0</v>
      </c>
      <c r="L117" s="36">
        <v>0</v>
      </c>
      <c r="M117" s="36">
        <v>0</v>
      </c>
      <c r="N117" s="36">
        <v>0</v>
      </c>
      <c r="O117" s="36">
        <v>0</v>
      </c>
      <c r="P117" s="49"/>
      <c r="Q117" s="37"/>
    </row>
    <row r="118" spans="1:17" s="38" customFormat="1" ht="19.5" customHeight="1">
      <c r="A118" s="34" t="s">
        <v>30</v>
      </c>
      <c r="B118" s="35" t="s">
        <v>139</v>
      </c>
      <c r="C118" s="36">
        <v>0</v>
      </c>
      <c r="D118" s="36">
        <v>0</v>
      </c>
      <c r="E118" s="36">
        <v>0</v>
      </c>
      <c r="F118" s="36">
        <v>0</v>
      </c>
      <c r="G118" s="36">
        <v>0</v>
      </c>
      <c r="H118" s="36">
        <v>0</v>
      </c>
      <c r="I118" s="36">
        <v>0</v>
      </c>
      <c r="J118" s="36">
        <v>0</v>
      </c>
      <c r="K118" s="36">
        <v>0</v>
      </c>
      <c r="L118" s="36">
        <v>0</v>
      </c>
      <c r="M118" s="36">
        <v>0</v>
      </c>
      <c r="N118" s="36">
        <v>0</v>
      </c>
      <c r="O118" s="36">
        <v>0</v>
      </c>
      <c r="P118" s="49"/>
      <c r="Q118" s="37"/>
    </row>
    <row r="119" spans="1:17" s="38" customFormat="1" ht="19.5" customHeight="1">
      <c r="A119" s="34" t="s">
        <v>93</v>
      </c>
      <c r="B119" s="35" t="s">
        <v>140</v>
      </c>
      <c r="C119" s="36">
        <v>0</v>
      </c>
      <c r="D119" s="36">
        <v>0</v>
      </c>
      <c r="E119" s="36">
        <v>0</v>
      </c>
      <c r="F119" s="36">
        <v>0</v>
      </c>
      <c r="G119" s="36">
        <v>0</v>
      </c>
      <c r="H119" s="36">
        <v>0</v>
      </c>
      <c r="I119" s="36">
        <v>0</v>
      </c>
      <c r="J119" s="36">
        <v>0</v>
      </c>
      <c r="K119" s="36">
        <v>0</v>
      </c>
      <c r="L119" s="36">
        <v>0</v>
      </c>
      <c r="M119" s="36">
        <v>0</v>
      </c>
      <c r="N119" s="36">
        <v>0</v>
      </c>
      <c r="O119" s="36">
        <v>0</v>
      </c>
      <c r="P119" s="49"/>
      <c r="Q119" s="37"/>
    </row>
    <row r="120" spans="1:17" s="38" customFormat="1" ht="19.5" customHeight="1">
      <c r="A120" s="34" t="s">
        <v>141</v>
      </c>
      <c r="B120" s="35" t="s">
        <v>270</v>
      </c>
      <c r="C120" s="23">
        <v>97.66</v>
      </c>
      <c r="D120" s="23">
        <v>154.74</v>
      </c>
      <c r="E120" s="23">
        <v>285.83</v>
      </c>
      <c r="F120" s="23">
        <v>87.86</v>
      </c>
      <c r="G120" s="23">
        <v>79.7</v>
      </c>
      <c r="H120" s="39">
        <v>100.05</v>
      </c>
      <c r="I120" s="39">
        <v>110.1</v>
      </c>
      <c r="J120" s="39">
        <v>82.82</v>
      </c>
      <c r="K120" s="39">
        <v>89.66</v>
      </c>
      <c r="L120" s="39">
        <v>97.61</v>
      </c>
      <c r="M120" s="39">
        <f>134.49-2.07</f>
        <v>132.42000000000002</v>
      </c>
      <c r="N120" s="39">
        <v>192</v>
      </c>
      <c r="O120" s="39">
        <f>225.26+0.02</f>
        <v>225.28</v>
      </c>
      <c r="P120" s="49">
        <f>+P163</f>
        <v>0.1125</v>
      </c>
      <c r="Q120" s="37"/>
    </row>
    <row r="121" spans="1:17" s="38" customFormat="1" ht="19.5" customHeight="1">
      <c r="A121" s="34" t="s">
        <v>142</v>
      </c>
      <c r="B121" s="35" t="s">
        <v>143</v>
      </c>
      <c r="C121" s="36">
        <v>0</v>
      </c>
      <c r="D121" s="36">
        <v>0</v>
      </c>
      <c r="E121" s="36">
        <v>0</v>
      </c>
      <c r="F121" s="36">
        <v>0</v>
      </c>
      <c r="G121" s="36">
        <v>0</v>
      </c>
      <c r="H121" s="36">
        <v>0</v>
      </c>
      <c r="I121" s="36">
        <v>0</v>
      </c>
      <c r="J121" s="36">
        <v>0</v>
      </c>
      <c r="K121" s="36">
        <v>0</v>
      </c>
      <c r="L121" s="36">
        <v>0</v>
      </c>
      <c r="M121" s="36">
        <v>0</v>
      </c>
      <c r="N121" s="36">
        <v>0</v>
      </c>
      <c r="O121" s="36">
        <v>0</v>
      </c>
      <c r="P121" s="49"/>
      <c r="Q121" s="37"/>
    </row>
    <row r="122" spans="1:17" s="38" customFormat="1" ht="19.5" customHeight="1">
      <c r="A122" s="34" t="s">
        <v>144</v>
      </c>
      <c r="B122" s="35" t="s">
        <v>145</v>
      </c>
      <c r="C122" s="36">
        <v>0</v>
      </c>
      <c r="D122" s="36">
        <v>0</v>
      </c>
      <c r="E122" s="36">
        <v>0</v>
      </c>
      <c r="F122" s="36">
        <v>0</v>
      </c>
      <c r="G122" s="36">
        <v>0</v>
      </c>
      <c r="H122" s="36">
        <v>0</v>
      </c>
      <c r="I122" s="36">
        <v>0</v>
      </c>
      <c r="J122" s="36">
        <v>0</v>
      </c>
      <c r="K122" s="36">
        <v>0</v>
      </c>
      <c r="L122" s="36">
        <v>0</v>
      </c>
      <c r="M122" s="36">
        <v>0</v>
      </c>
      <c r="N122" s="36">
        <v>0</v>
      </c>
      <c r="O122" s="36">
        <v>0</v>
      </c>
      <c r="P122" s="49"/>
      <c r="Q122" s="37"/>
    </row>
    <row r="123" spans="1:17" s="38" customFormat="1" ht="28.5">
      <c r="A123" s="34" t="s">
        <v>146</v>
      </c>
      <c r="B123" s="35" t="s">
        <v>147</v>
      </c>
      <c r="C123" s="36">
        <v>0</v>
      </c>
      <c r="D123" s="36">
        <v>0</v>
      </c>
      <c r="E123" s="36">
        <v>0</v>
      </c>
      <c r="F123" s="36">
        <v>0</v>
      </c>
      <c r="G123" s="36">
        <v>0</v>
      </c>
      <c r="H123" s="36">
        <v>0</v>
      </c>
      <c r="I123" s="36">
        <v>0</v>
      </c>
      <c r="J123" s="36">
        <v>0</v>
      </c>
      <c r="K123" s="36">
        <v>0</v>
      </c>
      <c r="L123" s="36">
        <v>0</v>
      </c>
      <c r="M123" s="36">
        <v>0</v>
      </c>
      <c r="N123" s="36">
        <v>0</v>
      </c>
      <c r="O123" s="36">
        <v>0</v>
      </c>
      <c r="P123" s="49"/>
      <c r="Q123" s="37"/>
    </row>
    <row r="124" spans="1:17" s="38" customFormat="1" ht="28.5">
      <c r="A124" s="34" t="s">
        <v>148</v>
      </c>
      <c r="B124" s="35" t="s">
        <v>225</v>
      </c>
      <c r="C124" s="23">
        <v>0.23</v>
      </c>
      <c r="D124" s="23">
        <v>0.08</v>
      </c>
      <c r="E124" s="23">
        <v>0.09</v>
      </c>
      <c r="F124" s="23">
        <v>0.07</v>
      </c>
      <c r="G124" s="23">
        <v>0.1</v>
      </c>
      <c r="H124" s="39">
        <v>0.25</v>
      </c>
      <c r="I124" s="39">
        <v>0.25</v>
      </c>
      <c r="J124" s="39">
        <f aca="true" t="shared" si="37" ref="J124:O125">I124</f>
        <v>0.25</v>
      </c>
      <c r="K124" s="39">
        <f t="shared" si="37"/>
        <v>0.25</v>
      </c>
      <c r="L124" s="39">
        <f t="shared" si="37"/>
        <v>0.25</v>
      </c>
      <c r="M124" s="39">
        <f t="shared" si="37"/>
        <v>0.25</v>
      </c>
      <c r="N124" s="39">
        <f t="shared" si="37"/>
        <v>0.25</v>
      </c>
      <c r="O124" s="39">
        <f t="shared" si="37"/>
        <v>0.25</v>
      </c>
      <c r="P124" s="49"/>
      <c r="Q124" s="37"/>
    </row>
    <row r="125" spans="1:17" s="38" customFormat="1" ht="19.5" customHeight="1">
      <c r="A125" s="34" t="s">
        <v>149</v>
      </c>
      <c r="B125" s="35" t="s">
        <v>224</v>
      </c>
      <c r="C125" s="23">
        <v>0.01</v>
      </c>
      <c r="D125" s="23">
        <v>0.25</v>
      </c>
      <c r="E125" s="23">
        <v>0.17</v>
      </c>
      <c r="F125" s="23">
        <v>0.27</v>
      </c>
      <c r="G125" s="23">
        <v>0.54</v>
      </c>
      <c r="H125" s="39">
        <v>0.25</v>
      </c>
      <c r="I125" s="39">
        <v>0.4</v>
      </c>
      <c r="J125" s="39">
        <f t="shared" si="37"/>
        <v>0.4</v>
      </c>
      <c r="K125" s="39">
        <f t="shared" si="37"/>
        <v>0.4</v>
      </c>
      <c r="L125" s="39">
        <f t="shared" si="37"/>
        <v>0.4</v>
      </c>
      <c r="M125" s="39">
        <f t="shared" si="37"/>
        <v>0.4</v>
      </c>
      <c r="N125" s="39">
        <f t="shared" si="37"/>
        <v>0.4</v>
      </c>
      <c r="O125" s="39">
        <f t="shared" si="37"/>
        <v>0.4</v>
      </c>
      <c r="P125" s="49"/>
      <c r="Q125" s="37"/>
    </row>
    <row r="126" spans="1:17" s="38" customFormat="1" ht="28.5">
      <c r="A126" s="34" t="s">
        <v>150</v>
      </c>
      <c r="B126" s="35" t="s">
        <v>248</v>
      </c>
      <c r="C126" s="23">
        <v>0.06</v>
      </c>
      <c r="D126" s="23">
        <v>0.09</v>
      </c>
      <c r="E126" s="23">
        <v>0.13</v>
      </c>
      <c r="F126" s="23">
        <v>0.19</v>
      </c>
      <c r="G126" s="23">
        <v>0.16</v>
      </c>
      <c r="H126" s="39">
        <v>0.17</v>
      </c>
      <c r="I126" s="39">
        <v>0.17</v>
      </c>
      <c r="J126" s="39">
        <f aca="true" t="shared" si="38" ref="J126:O126">I126</f>
        <v>0.17</v>
      </c>
      <c r="K126" s="39">
        <f t="shared" si="38"/>
        <v>0.17</v>
      </c>
      <c r="L126" s="39">
        <f t="shared" si="38"/>
        <v>0.17</v>
      </c>
      <c r="M126" s="39">
        <f t="shared" si="38"/>
        <v>0.17</v>
      </c>
      <c r="N126" s="39">
        <f t="shared" si="38"/>
        <v>0.17</v>
      </c>
      <c r="O126" s="39">
        <f t="shared" si="38"/>
        <v>0.17</v>
      </c>
      <c r="P126" s="49"/>
      <c r="Q126" s="37"/>
    </row>
    <row r="127" spans="1:17" s="38" customFormat="1" ht="19.5" customHeight="1">
      <c r="A127" s="23">
        <v>102</v>
      </c>
      <c r="B127" s="35" t="s">
        <v>151</v>
      </c>
      <c r="C127" s="36">
        <v>0</v>
      </c>
      <c r="D127" s="36">
        <v>0</v>
      </c>
      <c r="E127" s="36">
        <v>0</v>
      </c>
      <c r="F127" s="36">
        <v>0</v>
      </c>
      <c r="G127" s="36">
        <v>0</v>
      </c>
      <c r="H127" s="36">
        <v>0</v>
      </c>
      <c r="I127" s="36">
        <v>0</v>
      </c>
      <c r="J127" s="36">
        <v>0</v>
      </c>
      <c r="K127" s="36">
        <v>0</v>
      </c>
      <c r="L127" s="36">
        <v>0</v>
      </c>
      <c r="M127" s="36">
        <v>0</v>
      </c>
      <c r="N127" s="36">
        <v>0</v>
      </c>
      <c r="O127" s="36">
        <v>0</v>
      </c>
      <c r="P127" s="49"/>
      <c r="Q127" s="37"/>
    </row>
    <row r="128" spans="1:17" s="38" customFormat="1" ht="19.5" customHeight="1">
      <c r="A128" s="34" t="s">
        <v>152</v>
      </c>
      <c r="B128" s="35" t="s">
        <v>153</v>
      </c>
      <c r="C128" s="36">
        <v>0</v>
      </c>
      <c r="D128" s="36">
        <v>0</v>
      </c>
      <c r="E128" s="36">
        <v>0</v>
      </c>
      <c r="F128" s="36">
        <v>0</v>
      </c>
      <c r="G128" s="36">
        <v>0</v>
      </c>
      <c r="H128" s="36">
        <v>0</v>
      </c>
      <c r="I128" s="36">
        <v>0</v>
      </c>
      <c r="J128" s="36">
        <v>0</v>
      </c>
      <c r="K128" s="36">
        <v>0</v>
      </c>
      <c r="L128" s="36">
        <v>0</v>
      </c>
      <c r="M128" s="36">
        <v>0</v>
      </c>
      <c r="N128" s="36">
        <v>0</v>
      </c>
      <c r="O128" s="36">
        <v>0</v>
      </c>
      <c r="P128" s="49"/>
      <c r="Q128" s="37"/>
    </row>
    <row r="129" spans="1:17" s="38" customFormat="1" ht="28.5">
      <c r="A129" s="23">
        <v>1051</v>
      </c>
      <c r="B129" s="35" t="s">
        <v>154</v>
      </c>
      <c r="C129" s="36">
        <v>0</v>
      </c>
      <c r="D129" s="36">
        <v>0</v>
      </c>
      <c r="E129" s="36">
        <v>0</v>
      </c>
      <c r="F129" s="36">
        <v>0</v>
      </c>
      <c r="G129" s="36">
        <v>0</v>
      </c>
      <c r="H129" s="36">
        <v>0</v>
      </c>
      <c r="I129" s="36">
        <v>0</v>
      </c>
      <c r="J129" s="36">
        <v>0</v>
      </c>
      <c r="K129" s="36">
        <v>0</v>
      </c>
      <c r="L129" s="36">
        <v>0</v>
      </c>
      <c r="M129" s="36">
        <v>0</v>
      </c>
      <c r="N129" s="36">
        <v>0</v>
      </c>
      <c r="O129" s="36">
        <v>0</v>
      </c>
      <c r="P129" s="49"/>
      <c r="Q129" s="37"/>
    </row>
    <row r="130" spans="1:17" s="38" customFormat="1" ht="19.5" customHeight="1">
      <c r="A130" s="23">
        <v>1052</v>
      </c>
      <c r="B130" s="35" t="s">
        <v>155</v>
      </c>
      <c r="C130" s="36">
        <v>0</v>
      </c>
      <c r="D130" s="36">
        <v>0</v>
      </c>
      <c r="E130" s="36">
        <v>0</v>
      </c>
      <c r="F130" s="36">
        <v>0</v>
      </c>
      <c r="G130" s="36">
        <v>0</v>
      </c>
      <c r="H130" s="36">
        <v>0</v>
      </c>
      <c r="I130" s="36">
        <v>0</v>
      </c>
      <c r="J130" s="36">
        <v>0</v>
      </c>
      <c r="K130" s="36">
        <v>0</v>
      </c>
      <c r="L130" s="36">
        <v>0</v>
      </c>
      <c r="M130" s="36">
        <v>0</v>
      </c>
      <c r="N130" s="36">
        <v>0</v>
      </c>
      <c r="O130" s="36">
        <v>0</v>
      </c>
      <c r="P130" s="49"/>
      <c r="Q130" s="37"/>
    </row>
    <row r="131" spans="1:17" s="38" customFormat="1" ht="19.5" customHeight="1">
      <c r="A131" s="23">
        <v>1053</v>
      </c>
      <c r="B131" s="35" t="s">
        <v>156</v>
      </c>
      <c r="C131" s="36">
        <v>0</v>
      </c>
      <c r="D131" s="36">
        <v>0</v>
      </c>
      <c r="E131" s="36">
        <v>0</v>
      </c>
      <c r="F131" s="36">
        <v>0</v>
      </c>
      <c r="G131" s="36">
        <v>0</v>
      </c>
      <c r="H131" s="36">
        <v>0</v>
      </c>
      <c r="I131" s="36">
        <v>0</v>
      </c>
      <c r="J131" s="36">
        <v>0</v>
      </c>
      <c r="K131" s="36">
        <v>0</v>
      </c>
      <c r="L131" s="36">
        <v>0</v>
      </c>
      <c r="M131" s="36">
        <v>0</v>
      </c>
      <c r="N131" s="36">
        <v>0</v>
      </c>
      <c r="O131" s="36">
        <v>0</v>
      </c>
      <c r="P131" s="49"/>
      <c r="Q131" s="37"/>
    </row>
    <row r="132" spans="1:17" s="38" customFormat="1" ht="28.5">
      <c r="A132" s="23">
        <v>1054</v>
      </c>
      <c r="B132" s="35" t="s">
        <v>249</v>
      </c>
      <c r="C132" s="36">
        <f>SUM(C133)</f>
        <v>0</v>
      </c>
      <c r="D132" s="36">
        <v>0</v>
      </c>
      <c r="E132" s="36">
        <v>0</v>
      </c>
      <c r="F132" s="36">
        <v>0</v>
      </c>
      <c r="G132" s="36">
        <v>0</v>
      </c>
      <c r="H132" s="36">
        <f>SUM(H133)</f>
        <v>0</v>
      </c>
      <c r="I132" s="36">
        <v>0</v>
      </c>
      <c r="J132" s="36">
        <v>0</v>
      </c>
      <c r="K132" s="36">
        <v>0</v>
      </c>
      <c r="L132" s="36">
        <v>0</v>
      </c>
      <c r="M132" s="36">
        <f>SUM(M133)</f>
        <v>0</v>
      </c>
      <c r="N132" s="36">
        <v>0</v>
      </c>
      <c r="O132" s="36">
        <v>0</v>
      </c>
      <c r="P132" s="49"/>
      <c r="Q132" s="37"/>
    </row>
    <row r="133" spans="1:17" s="38" customFormat="1" ht="19.5" customHeight="1">
      <c r="A133" s="23">
        <v>102</v>
      </c>
      <c r="B133" s="35" t="s">
        <v>157</v>
      </c>
      <c r="C133" s="36">
        <v>0</v>
      </c>
      <c r="D133" s="36">
        <v>0</v>
      </c>
      <c r="E133" s="36">
        <v>0</v>
      </c>
      <c r="F133" s="36">
        <v>0</v>
      </c>
      <c r="G133" s="36">
        <v>0</v>
      </c>
      <c r="H133" s="36">
        <v>0</v>
      </c>
      <c r="I133" s="36">
        <v>0</v>
      </c>
      <c r="J133" s="36">
        <v>0</v>
      </c>
      <c r="K133" s="36">
        <v>0</v>
      </c>
      <c r="L133" s="36">
        <v>0</v>
      </c>
      <c r="M133" s="36">
        <v>0</v>
      </c>
      <c r="N133" s="36">
        <v>0</v>
      </c>
      <c r="O133" s="36">
        <v>0</v>
      </c>
      <c r="P133" s="49"/>
      <c r="Q133" s="37"/>
    </row>
    <row r="134" spans="1:20" s="38" customFormat="1" ht="19.5" customHeight="1">
      <c r="A134" s="23">
        <v>1055</v>
      </c>
      <c r="B134" s="35" t="s">
        <v>271</v>
      </c>
      <c r="C134" s="23">
        <v>15.62</v>
      </c>
      <c r="D134" s="23">
        <v>17.64</v>
      </c>
      <c r="E134" s="23">
        <v>20.28</v>
      </c>
      <c r="F134" s="23">
        <v>24.76</v>
      </c>
      <c r="G134" s="23">
        <v>30.89</v>
      </c>
      <c r="H134" s="39">
        <v>31.77</v>
      </c>
      <c r="I134" s="39">
        <v>36.04</v>
      </c>
      <c r="J134" s="39">
        <v>36.04</v>
      </c>
      <c r="K134" s="39">
        <v>36.04</v>
      </c>
      <c r="L134" s="39">
        <v>36.04</v>
      </c>
      <c r="M134" s="39">
        <v>36.04</v>
      </c>
      <c r="N134" s="39">
        <v>36.04</v>
      </c>
      <c r="O134" s="39">
        <v>36.04</v>
      </c>
      <c r="P134" s="37">
        <f>(LOGEST(C134:I134)*100-100)/100</f>
        <v>0.1579294209085198</v>
      </c>
      <c r="Q134" s="37">
        <f>R134/(C134*100)</f>
        <v>0.006884946039875618</v>
      </c>
      <c r="R134" s="38">
        <f>I134-S134</f>
        <v>10.754285714285714</v>
      </c>
      <c r="S134" s="38">
        <f>T134/7</f>
        <v>25.285714285714285</v>
      </c>
      <c r="T134" s="38">
        <f>SUM(C134:I134)</f>
        <v>177</v>
      </c>
    </row>
    <row r="135" spans="1:17" s="38" customFormat="1" ht="19.5" customHeight="1">
      <c r="A135" s="23">
        <v>1056</v>
      </c>
      <c r="B135" s="35" t="s">
        <v>158</v>
      </c>
      <c r="C135" s="36">
        <v>0</v>
      </c>
      <c r="D135" s="36">
        <v>0</v>
      </c>
      <c r="E135" s="36">
        <v>0</v>
      </c>
      <c r="F135" s="36">
        <v>0</v>
      </c>
      <c r="G135" s="36">
        <v>0</v>
      </c>
      <c r="H135" s="36">
        <v>0</v>
      </c>
      <c r="I135" s="36">
        <v>0</v>
      </c>
      <c r="J135" s="36">
        <v>0</v>
      </c>
      <c r="K135" s="36">
        <v>0</v>
      </c>
      <c r="L135" s="36">
        <v>0</v>
      </c>
      <c r="M135" s="36">
        <v>0</v>
      </c>
      <c r="N135" s="36">
        <v>0</v>
      </c>
      <c r="O135" s="36">
        <v>0</v>
      </c>
      <c r="P135" s="49"/>
      <c r="Q135" s="37"/>
    </row>
    <row r="136" spans="1:17" s="38" customFormat="1" ht="28.5">
      <c r="A136" s="23">
        <v>1075</v>
      </c>
      <c r="B136" s="35" t="s">
        <v>159</v>
      </c>
      <c r="C136" s="36">
        <v>0</v>
      </c>
      <c r="D136" s="36">
        <v>0</v>
      </c>
      <c r="E136" s="36">
        <v>0</v>
      </c>
      <c r="F136" s="36">
        <v>0</v>
      </c>
      <c r="G136" s="36">
        <v>0</v>
      </c>
      <c r="H136" s="36">
        <v>0</v>
      </c>
      <c r="I136" s="36">
        <v>0</v>
      </c>
      <c r="J136" s="36">
        <v>0</v>
      </c>
      <c r="K136" s="36">
        <v>0</v>
      </c>
      <c r="L136" s="36">
        <v>0</v>
      </c>
      <c r="M136" s="36">
        <v>0</v>
      </c>
      <c r="N136" s="36">
        <v>0</v>
      </c>
      <c r="O136" s="36">
        <v>0</v>
      </c>
      <c r="P136" s="49"/>
      <c r="Q136" s="37"/>
    </row>
    <row r="137" spans="1:17" s="38" customFormat="1" ht="28.5">
      <c r="A137" s="23">
        <v>1425</v>
      </c>
      <c r="B137" s="35" t="s">
        <v>160</v>
      </c>
      <c r="C137" s="36">
        <v>0</v>
      </c>
      <c r="D137" s="36">
        <v>0</v>
      </c>
      <c r="E137" s="36">
        <v>0</v>
      </c>
      <c r="F137" s="36">
        <v>0</v>
      </c>
      <c r="G137" s="36">
        <v>0</v>
      </c>
      <c r="H137" s="36">
        <v>0</v>
      </c>
      <c r="I137" s="36">
        <v>0</v>
      </c>
      <c r="J137" s="36">
        <v>0</v>
      </c>
      <c r="K137" s="36">
        <v>0</v>
      </c>
      <c r="L137" s="36">
        <v>0</v>
      </c>
      <c r="M137" s="36">
        <v>0</v>
      </c>
      <c r="N137" s="36">
        <v>0</v>
      </c>
      <c r="O137" s="36">
        <v>0</v>
      </c>
      <c r="P137" s="49"/>
      <c r="Q137" s="37"/>
    </row>
    <row r="138" spans="1:20" s="38" customFormat="1" ht="19.5" customHeight="1">
      <c r="A138" s="23">
        <v>1452</v>
      </c>
      <c r="B138" s="35" t="s">
        <v>226</v>
      </c>
      <c r="C138" s="23">
        <v>1.18</v>
      </c>
      <c r="D138" s="23">
        <v>2.11</v>
      </c>
      <c r="E138" s="23">
        <v>1.62</v>
      </c>
      <c r="F138" s="23">
        <v>3</v>
      </c>
      <c r="G138" s="23">
        <v>1.84</v>
      </c>
      <c r="H138" s="39">
        <v>5</v>
      </c>
      <c r="I138" s="39">
        <v>5.6</v>
      </c>
      <c r="J138" s="39">
        <f>I138+(I138*P138)</f>
        <v>7.069486718799627</v>
      </c>
      <c r="K138" s="39">
        <f>J138+(J138*P138)</f>
        <v>8.924579012015059</v>
      </c>
      <c r="L138" s="39">
        <f>K138+(K138*P138)</f>
        <v>11.266462999342565</v>
      </c>
      <c r="M138" s="39">
        <f>L138+(L138*P138)</f>
        <v>14.222876882446371</v>
      </c>
      <c r="N138" s="39">
        <f>M138+(M138*P138)</f>
        <v>17.955078432781587</v>
      </c>
      <c r="O138" s="39">
        <f>N138+(N138*P138)</f>
        <v>22.66664080634912</v>
      </c>
      <c r="P138" s="37">
        <f>(LOGEST(C138:I138)*100-100)/100</f>
        <v>0.2624083426427907</v>
      </c>
      <c r="Q138" s="37">
        <f>R138/(C138*100)</f>
        <v>0.022820823244552053</v>
      </c>
      <c r="R138" s="38">
        <f>I138-S138</f>
        <v>2.692857142857142</v>
      </c>
      <c r="S138" s="38">
        <f>T138/7</f>
        <v>2.9071428571428575</v>
      </c>
      <c r="T138" s="38">
        <f>SUM(C138:I138)</f>
        <v>20.35</v>
      </c>
    </row>
    <row r="139" spans="1:17" s="38" customFormat="1" ht="28.5">
      <c r="A139" s="23">
        <v>1453</v>
      </c>
      <c r="B139" s="35" t="s">
        <v>161</v>
      </c>
      <c r="C139" s="36">
        <v>0</v>
      </c>
      <c r="D139" s="36">
        <v>0</v>
      </c>
      <c r="E139" s="36">
        <v>0</v>
      </c>
      <c r="F139" s="36">
        <v>0</v>
      </c>
      <c r="G139" s="36">
        <v>0</v>
      </c>
      <c r="H139" s="36">
        <v>0</v>
      </c>
      <c r="I139" s="36">
        <v>0</v>
      </c>
      <c r="J139" s="36">
        <v>0</v>
      </c>
      <c r="K139" s="36">
        <v>0</v>
      </c>
      <c r="L139" s="36">
        <v>0</v>
      </c>
      <c r="M139" s="36">
        <v>0</v>
      </c>
      <c r="N139" s="36">
        <v>0</v>
      </c>
      <c r="O139" s="36">
        <v>0</v>
      </c>
      <c r="P139" s="49"/>
      <c r="Q139" s="37"/>
    </row>
    <row r="140" spans="1:17" s="38" customFormat="1" ht="19.5" customHeight="1">
      <c r="A140" s="23">
        <v>1456</v>
      </c>
      <c r="B140" s="35" t="s">
        <v>162</v>
      </c>
      <c r="C140" s="36">
        <v>0</v>
      </c>
      <c r="D140" s="36">
        <v>0</v>
      </c>
      <c r="E140" s="36">
        <v>0</v>
      </c>
      <c r="F140" s="36">
        <v>0</v>
      </c>
      <c r="G140" s="36">
        <v>0</v>
      </c>
      <c r="H140" s="36">
        <v>0</v>
      </c>
      <c r="I140" s="36">
        <v>0</v>
      </c>
      <c r="J140" s="36">
        <v>0</v>
      </c>
      <c r="K140" s="36">
        <v>0</v>
      </c>
      <c r="L140" s="36">
        <v>0</v>
      </c>
      <c r="M140" s="36">
        <v>0</v>
      </c>
      <c r="N140" s="36">
        <v>0</v>
      </c>
      <c r="O140" s="36">
        <v>0</v>
      </c>
      <c r="P140" s="49"/>
      <c r="Q140" s="37"/>
    </row>
    <row r="141" spans="1:20" s="38" customFormat="1" ht="32.25" customHeight="1">
      <c r="A141" s="23">
        <v>1475</v>
      </c>
      <c r="B141" s="35" t="s">
        <v>272</v>
      </c>
      <c r="C141" s="23">
        <v>0.07</v>
      </c>
      <c r="D141" s="23">
        <v>0.09</v>
      </c>
      <c r="E141" s="23">
        <v>0.11</v>
      </c>
      <c r="F141" s="23">
        <v>0.11</v>
      </c>
      <c r="G141" s="23">
        <v>0.14</v>
      </c>
      <c r="H141" s="39">
        <v>0.04</v>
      </c>
      <c r="I141" s="39">
        <v>0.14</v>
      </c>
      <c r="J141" s="39">
        <f>I141+(I141*P141)</f>
        <v>0.14353767376383433</v>
      </c>
      <c r="K141" s="39">
        <f>J141+(J141*P141)</f>
        <v>0.14716474135380667</v>
      </c>
      <c r="L141" s="39">
        <f>K141+(K141*P141)</f>
        <v>0.1508834616712983</v>
      </c>
      <c r="M141" s="39">
        <f>L141+(L141*P141)</f>
        <v>0.15469615069809153</v>
      </c>
      <c r="N141" s="39">
        <f>M141+(M141*P141)</f>
        <v>0.1586051829387401</v>
      </c>
      <c r="O141" s="39">
        <f>N141+(N141*P141)</f>
        <v>0.16261299289938672</v>
      </c>
      <c r="P141" s="37">
        <f>(LOGEST(C141:I141)*100-100)/100</f>
        <v>0.025269098313102346</v>
      </c>
      <c r="Q141" s="37">
        <f>R141/(C141*100)</f>
        <v>0.005714285714285714</v>
      </c>
      <c r="R141" s="38">
        <f>I141-S141</f>
        <v>0.04000000000000001</v>
      </c>
      <c r="S141" s="38">
        <f>T141/7</f>
        <v>0.1</v>
      </c>
      <c r="T141" s="38">
        <f>SUM(C141:I141)</f>
        <v>0.7000000000000001</v>
      </c>
    </row>
    <row r="142" spans="1:17" s="27" customFormat="1" ht="19.5" customHeight="1">
      <c r="A142" s="32" t="s">
        <v>163</v>
      </c>
      <c r="B142" s="33" t="s">
        <v>164</v>
      </c>
      <c r="C142" s="32">
        <f aca="true" t="shared" si="39" ref="C142:O142">C143+C149</f>
        <v>742.71</v>
      </c>
      <c r="D142" s="32">
        <f t="shared" si="39"/>
        <v>902.5500000000001</v>
      </c>
      <c r="E142" s="32">
        <f t="shared" si="39"/>
        <v>1299.62</v>
      </c>
      <c r="F142" s="32">
        <f t="shared" si="39"/>
        <v>1105.02</v>
      </c>
      <c r="G142" s="32">
        <f t="shared" si="39"/>
        <v>1722.5</v>
      </c>
      <c r="H142" s="32">
        <f>H143+H149</f>
        <v>2700.03</v>
      </c>
      <c r="I142" s="32">
        <f t="shared" si="39"/>
        <v>2364.52</v>
      </c>
      <c r="J142" s="32">
        <f t="shared" si="39"/>
        <v>0</v>
      </c>
      <c r="K142" s="32">
        <f t="shared" si="39"/>
        <v>0</v>
      </c>
      <c r="L142" s="32">
        <f t="shared" si="39"/>
        <v>0</v>
      </c>
      <c r="M142" s="32">
        <f t="shared" si="39"/>
        <v>0</v>
      </c>
      <c r="N142" s="32">
        <f t="shared" si="39"/>
        <v>0</v>
      </c>
      <c r="O142" s="32">
        <f t="shared" si="39"/>
        <v>0</v>
      </c>
      <c r="P142" s="51"/>
      <c r="Q142" s="26"/>
    </row>
    <row r="143" spans="1:17" s="27" customFormat="1" ht="19.5" customHeight="1">
      <c r="A143" s="32" t="s">
        <v>165</v>
      </c>
      <c r="B143" s="33" t="s">
        <v>166</v>
      </c>
      <c r="C143" s="32">
        <v>87.02</v>
      </c>
      <c r="D143" s="32">
        <v>66.61</v>
      </c>
      <c r="E143" s="32">
        <v>28.79</v>
      </c>
      <c r="F143" s="32">
        <v>121.32</v>
      </c>
      <c r="G143" s="32">
        <v>345.74</v>
      </c>
      <c r="H143" s="43">
        <v>2700.03</v>
      </c>
      <c r="I143" s="43">
        <v>2364.52</v>
      </c>
      <c r="J143" s="52">
        <v>0</v>
      </c>
      <c r="K143" s="52">
        <v>0</v>
      </c>
      <c r="L143" s="52">
        <v>0</v>
      </c>
      <c r="M143" s="52">
        <v>0</v>
      </c>
      <c r="N143" s="52">
        <v>0</v>
      </c>
      <c r="O143" s="52">
        <v>0</v>
      </c>
      <c r="P143" s="51"/>
      <c r="Q143" s="26"/>
    </row>
    <row r="144" spans="1:17" s="27" customFormat="1" ht="45">
      <c r="A144" s="32">
        <v>104</v>
      </c>
      <c r="B144" s="33" t="s">
        <v>167</v>
      </c>
      <c r="C144" s="32">
        <v>0</v>
      </c>
      <c r="D144" s="32">
        <v>0</v>
      </c>
      <c r="E144" s="32">
        <v>0</v>
      </c>
      <c r="F144" s="32">
        <v>0</v>
      </c>
      <c r="G144" s="32">
        <v>0</v>
      </c>
      <c r="H144" s="52">
        <v>0</v>
      </c>
      <c r="I144" s="52">
        <v>0</v>
      </c>
      <c r="J144" s="52">
        <v>0</v>
      </c>
      <c r="K144" s="52">
        <v>0</v>
      </c>
      <c r="L144" s="52">
        <v>0</v>
      </c>
      <c r="M144" s="52">
        <v>0</v>
      </c>
      <c r="N144" s="52">
        <v>0</v>
      </c>
      <c r="O144" s="52">
        <v>0</v>
      </c>
      <c r="P144" s="51"/>
      <c r="Q144" s="26"/>
    </row>
    <row r="145" spans="1:17" s="38" customFormat="1" ht="28.5">
      <c r="A145" s="23">
        <v>106</v>
      </c>
      <c r="B145" s="35" t="s">
        <v>168</v>
      </c>
      <c r="C145" s="23">
        <v>0</v>
      </c>
      <c r="D145" s="23">
        <v>0</v>
      </c>
      <c r="E145" s="23">
        <v>0</v>
      </c>
      <c r="F145" s="23">
        <v>0</v>
      </c>
      <c r="G145" s="23">
        <v>0</v>
      </c>
      <c r="H145" s="41">
        <v>0</v>
      </c>
      <c r="I145" s="41">
        <v>0</v>
      </c>
      <c r="J145" s="41">
        <v>0</v>
      </c>
      <c r="K145" s="41">
        <v>0</v>
      </c>
      <c r="L145" s="41">
        <v>0</v>
      </c>
      <c r="M145" s="41">
        <v>0</v>
      </c>
      <c r="N145" s="41">
        <v>0</v>
      </c>
      <c r="O145" s="41">
        <v>0</v>
      </c>
      <c r="P145" s="49"/>
      <c r="Q145" s="37"/>
    </row>
    <row r="146" spans="1:17" s="38" customFormat="1" ht="57">
      <c r="A146" s="23">
        <v>107</v>
      </c>
      <c r="B146" s="35" t="s">
        <v>169</v>
      </c>
      <c r="C146" s="23">
        <v>0</v>
      </c>
      <c r="D146" s="23">
        <v>0</v>
      </c>
      <c r="E146" s="23">
        <v>0</v>
      </c>
      <c r="F146" s="23">
        <v>0</v>
      </c>
      <c r="G146" s="23">
        <v>0</v>
      </c>
      <c r="H146" s="41">
        <v>0</v>
      </c>
      <c r="I146" s="41">
        <v>0</v>
      </c>
      <c r="J146" s="41">
        <v>0</v>
      </c>
      <c r="K146" s="41">
        <v>0</v>
      </c>
      <c r="L146" s="41">
        <v>0</v>
      </c>
      <c r="M146" s="41">
        <v>0</v>
      </c>
      <c r="N146" s="41">
        <v>0</v>
      </c>
      <c r="O146" s="41">
        <v>0</v>
      </c>
      <c r="P146" s="49"/>
      <c r="Q146" s="37"/>
    </row>
    <row r="147" spans="1:17" s="38" customFormat="1" ht="19.5" customHeight="1">
      <c r="A147" s="23">
        <v>109</v>
      </c>
      <c r="B147" s="35" t="s">
        <v>170</v>
      </c>
      <c r="C147" s="23">
        <v>27.46</v>
      </c>
      <c r="D147" s="23">
        <v>22.71</v>
      </c>
      <c r="E147" s="23">
        <v>14.78</v>
      </c>
      <c r="F147" s="23">
        <v>10.24</v>
      </c>
      <c r="G147" s="23">
        <v>233.3</v>
      </c>
      <c r="H147" s="41">
        <v>22.57</v>
      </c>
      <c r="I147" s="41">
        <v>98.76</v>
      </c>
      <c r="J147" s="41">
        <v>0</v>
      </c>
      <c r="K147" s="41">
        <v>0</v>
      </c>
      <c r="L147" s="41">
        <v>0</v>
      </c>
      <c r="M147" s="41">
        <v>0</v>
      </c>
      <c r="N147" s="41">
        <v>0</v>
      </c>
      <c r="O147" s="41">
        <v>0</v>
      </c>
      <c r="P147" s="49"/>
      <c r="Q147" s="37"/>
    </row>
    <row r="148" spans="1:17" s="38" customFormat="1" ht="19.5" customHeight="1">
      <c r="A148" s="23"/>
      <c r="B148" s="35"/>
      <c r="C148" s="23"/>
      <c r="D148" s="23"/>
      <c r="E148" s="23"/>
      <c r="F148" s="23"/>
      <c r="G148" s="23"/>
      <c r="H148" s="39"/>
      <c r="I148" s="43"/>
      <c r="J148" s="41"/>
      <c r="K148" s="41"/>
      <c r="L148" s="41"/>
      <c r="M148" s="41"/>
      <c r="N148" s="41"/>
      <c r="O148" s="41"/>
      <c r="P148" s="49"/>
      <c r="Q148" s="37"/>
    </row>
    <row r="149" spans="1:17" s="38" customFormat="1" ht="19.5" customHeight="1">
      <c r="A149" s="23">
        <v>1601</v>
      </c>
      <c r="B149" s="35" t="s">
        <v>171</v>
      </c>
      <c r="C149" s="23">
        <f aca="true" t="shared" si="40" ref="C149:J149">SUM(C150:C153)</f>
        <v>655.69</v>
      </c>
      <c r="D149" s="23">
        <f t="shared" si="40"/>
        <v>835.94</v>
      </c>
      <c r="E149" s="23">
        <f t="shared" si="40"/>
        <v>1270.83</v>
      </c>
      <c r="F149" s="23">
        <f t="shared" si="40"/>
        <v>983.7</v>
      </c>
      <c r="G149" s="23">
        <f t="shared" si="40"/>
        <v>1376.76</v>
      </c>
      <c r="H149" s="23">
        <f t="shared" si="40"/>
        <v>0</v>
      </c>
      <c r="I149" s="23">
        <f t="shared" si="40"/>
        <v>0</v>
      </c>
      <c r="J149" s="23">
        <f t="shared" si="40"/>
        <v>0</v>
      </c>
      <c r="K149" s="41">
        <v>0</v>
      </c>
      <c r="L149" s="41">
        <v>0</v>
      </c>
      <c r="M149" s="41">
        <v>0</v>
      </c>
      <c r="N149" s="41">
        <v>0</v>
      </c>
      <c r="O149" s="41">
        <v>0</v>
      </c>
      <c r="P149" s="49"/>
      <c r="Q149" s="37"/>
    </row>
    <row r="150" spans="1:17" s="38" customFormat="1" ht="19.5" customHeight="1">
      <c r="A150" s="34" t="s">
        <v>78</v>
      </c>
      <c r="B150" s="35" t="s">
        <v>172</v>
      </c>
      <c r="C150" s="23">
        <v>455.22</v>
      </c>
      <c r="D150" s="23">
        <v>635.23</v>
      </c>
      <c r="E150" s="23">
        <v>1026.19</v>
      </c>
      <c r="F150" s="23">
        <v>799.88</v>
      </c>
      <c r="G150" s="23">
        <v>1145.02</v>
      </c>
      <c r="H150" s="39"/>
      <c r="I150" s="43"/>
      <c r="J150" s="41">
        <v>0</v>
      </c>
      <c r="K150" s="41">
        <v>0</v>
      </c>
      <c r="L150" s="41">
        <v>0</v>
      </c>
      <c r="M150" s="41">
        <v>0</v>
      </c>
      <c r="N150" s="41">
        <v>0</v>
      </c>
      <c r="O150" s="41">
        <v>0</v>
      </c>
      <c r="P150" s="49"/>
      <c r="Q150" s="37"/>
    </row>
    <row r="151" spans="1:17" s="38" customFormat="1" ht="28.5">
      <c r="A151" s="34" t="s">
        <v>30</v>
      </c>
      <c r="B151" s="35" t="s">
        <v>173</v>
      </c>
      <c r="C151" s="23">
        <v>4.51</v>
      </c>
      <c r="D151" s="23">
        <v>4.2</v>
      </c>
      <c r="E151" s="23">
        <v>4.63</v>
      </c>
      <c r="F151" s="23">
        <v>5.3</v>
      </c>
      <c r="G151" s="23">
        <v>3.56</v>
      </c>
      <c r="H151" s="39"/>
      <c r="I151" s="43"/>
      <c r="J151" s="41">
        <v>0</v>
      </c>
      <c r="K151" s="41">
        <v>0</v>
      </c>
      <c r="L151" s="41">
        <v>0</v>
      </c>
      <c r="M151" s="41">
        <v>0</v>
      </c>
      <c r="N151" s="41">
        <v>0</v>
      </c>
      <c r="O151" s="41">
        <v>0</v>
      </c>
      <c r="P151" s="49"/>
      <c r="Q151" s="37"/>
    </row>
    <row r="152" spans="1:17" s="38" customFormat="1" ht="28.5">
      <c r="A152" s="34" t="s">
        <v>93</v>
      </c>
      <c r="B152" s="35" t="s">
        <v>174</v>
      </c>
      <c r="C152" s="23">
        <v>160.22</v>
      </c>
      <c r="D152" s="23">
        <v>168.06</v>
      </c>
      <c r="E152" s="23">
        <v>187.14</v>
      </c>
      <c r="F152" s="23">
        <v>146.08</v>
      </c>
      <c r="G152" s="23">
        <v>168.53</v>
      </c>
      <c r="H152" s="39"/>
      <c r="I152" s="43"/>
      <c r="J152" s="41">
        <v>0</v>
      </c>
      <c r="K152" s="41">
        <v>0</v>
      </c>
      <c r="L152" s="41">
        <v>0</v>
      </c>
      <c r="M152" s="41">
        <v>0</v>
      </c>
      <c r="N152" s="41">
        <v>0</v>
      </c>
      <c r="O152" s="41">
        <v>0</v>
      </c>
      <c r="P152" s="49"/>
      <c r="Q152" s="37"/>
    </row>
    <row r="153" spans="1:17" s="38" customFormat="1" ht="28.5">
      <c r="A153" s="34" t="s">
        <v>175</v>
      </c>
      <c r="B153" s="35" t="s">
        <v>176</v>
      </c>
      <c r="C153" s="23">
        <v>35.74</v>
      </c>
      <c r="D153" s="23">
        <v>28.45</v>
      </c>
      <c r="E153" s="23">
        <v>52.87</v>
      </c>
      <c r="F153" s="23">
        <v>32.44</v>
      </c>
      <c r="G153" s="23">
        <v>59.65</v>
      </c>
      <c r="H153" s="39"/>
      <c r="I153" s="43"/>
      <c r="J153" s="41">
        <v>0</v>
      </c>
      <c r="K153" s="41">
        <v>0</v>
      </c>
      <c r="L153" s="41">
        <v>0</v>
      </c>
      <c r="M153" s="41">
        <v>0</v>
      </c>
      <c r="N153" s="41">
        <v>0</v>
      </c>
      <c r="O153" s="41">
        <v>0</v>
      </c>
      <c r="P153" s="49"/>
      <c r="Q153" s="37"/>
    </row>
    <row r="154" spans="1:17" s="27" customFormat="1" ht="41.25" customHeight="1">
      <c r="A154" s="86" t="s">
        <v>177</v>
      </c>
      <c r="B154" s="86"/>
      <c r="C154" s="32">
        <f aca="true" t="shared" si="41" ref="C154:I154">SUM(C5+C40+C142)</f>
        <v>2699.42</v>
      </c>
      <c r="D154" s="32">
        <f t="shared" si="41"/>
        <v>2671.2400000000002</v>
      </c>
      <c r="E154" s="32">
        <f t="shared" si="41"/>
        <v>3254.3899999999994</v>
      </c>
      <c r="F154" s="32">
        <f t="shared" si="41"/>
        <v>3047.3</v>
      </c>
      <c r="G154" s="32">
        <f t="shared" si="41"/>
        <v>3672.63</v>
      </c>
      <c r="H154" s="32">
        <f t="shared" si="41"/>
        <v>4795.030000000001</v>
      </c>
      <c r="I154" s="32">
        <f t="shared" si="41"/>
        <v>4676.27</v>
      </c>
      <c r="J154" s="32">
        <f aca="true" t="shared" si="42" ref="J154:O154">SUM(J5+J40)</f>
        <v>1506.9697359781176</v>
      </c>
      <c r="K154" s="32">
        <f t="shared" si="42"/>
        <v>1581.4766035173443</v>
      </c>
      <c r="L154" s="32">
        <f t="shared" si="42"/>
        <v>1665.9660667105536</v>
      </c>
      <c r="M154" s="32">
        <f t="shared" si="42"/>
        <v>1787.461295853302</v>
      </c>
      <c r="N154" s="32">
        <f t="shared" si="42"/>
        <v>1945.928395278721</v>
      </c>
      <c r="O154" s="32">
        <f t="shared" si="42"/>
        <v>2090.314203532973</v>
      </c>
      <c r="P154" s="51"/>
      <c r="Q154" s="26"/>
    </row>
    <row r="155" spans="1:17" s="38" customFormat="1" ht="23.25" customHeight="1">
      <c r="A155" s="48" t="s">
        <v>178</v>
      </c>
      <c r="B155" s="35"/>
      <c r="C155" s="23"/>
      <c r="D155" s="23"/>
      <c r="E155" s="23"/>
      <c r="F155" s="23"/>
      <c r="G155" s="23"/>
      <c r="H155" s="39"/>
      <c r="I155" s="39"/>
      <c r="J155" s="39"/>
      <c r="K155" s="39"/>
      <c r="L155" s="39"/>
      <c r="M155" s="39"/>
      <c r="N155" s="39"/>
      <c r="O155" s="39"/>
      <c r="P155" s="49">
        <v>0.1125</v>
      </c>
      <c r="Q155" s="37"/>
    </row>
    <row r="156" spans="1:17" s="38" customFormat="1" ht="19.5" customHeight="1">
      <c r="A156" s="53" t="s">
        <v>179</v>
      </c>
      <c r="B156" s="54"/>
      <c r="C156" s="53"/>
      <c r="D156" s="53"/>
      <c r="E156" s="53"/>
      <c r="F156" s="53"/>
      <c r="G156" s="53"/>
      <c r="H156" s="53"/>
      <c r="I156" s="55"/>
      <c r="J156" s="55"/>
      <c r="K156" s="55"/>
      <c r="L156" s="55"/>
      <c r="M156" s="55"/>
      <c r="N156" s="55"/>
      <c r="O156" s="55"/>
      <c r="P156" s="56"/>
      <c r="Q156" s="57"/>
    </row>
    <row r="157" spans="1:17" s="38" customFormat="1" ht="19.5" customHeight="1">
      <c r="A157" s="87" t="s">
        <v>186</v>
      </c>
      <c r="B157" s="87"/>
      <c r="C157" s="87"/>
      <c r="D157" s="87"/>
      <c r="E157" s="87"/>
      <c r="F157" s="87"/>
      <c r="G157" s="87"/>
      <c r="H157" s="87"/>
      <c r="I157" s="87"/>
      <c r="J157" s="87"/>
      <c r="K157" s="87"/>
      <c r="L157" s="87"/>
      <c r="M157" s="87"/>
      <c r="N157" s="87"/>
      <c r="O157" s="87"/>
      <c r="P157" s="58"/>
      <c r="Q157" s="57"/>
    </row>
    <row r="158" spans="1:17" s="38" customFormat="1" ht="27.75" customHeight="1">
      <c r="A158" s="87"/>
      <c r="B158" s="87"/>
      <c r="C158" s="87"/>
      <c r="D158" s="87"/>
      <c r="E158" s="87"/>
      <c r="F158" s="87"/>
      <c r="G158" s="87"/>
      <c r="H158" s="87"/>
      <c r="I158" s="87"/>
      <c r="J158" s="87"/>
      <c r="K158" s="87"/>
      <c r="L158" s="87"/>
      <c r="M158" s="87"/>
      <c r="N158" s="87"/>
      <c r="O158" s="87"/>
      <c r="P158" s="58"/>
      <c r="Q158" s="57"/>
    </row>
    <row r="159" spans="1:17" s="38" customFormat="1" ht="19.5" customHeight="1">
      <c r="A159" s="84" t="s">
        <v>187</v>
      </c>
      <c r="B159" s="84"/>
      <c r="C159" s="84"/>
      <c r="D159" s="84"/>
      <c r="E159" s="84"/>
      <c r="F159" s="84"/>
      <c r="G159" s="84"/>
      <c r="H159" s="84"/>
      <c r="I159" s="84"/>
      <c r="J159" s="84"/>
      <c r="K159" s="84"/>
      <c r="L159" s="84"/>
      <c r="M159" s="84"/>
      <c r="N159" s="84"/>
      <c r="O159" s="84"/>
      <c r="P159" s="49"/>
      <c r="Q159" s="37"/>
    </row>
    <row r="160" spans="1:17" s="38" customFormat="1" ht="39" customHeight="1">
      <c r="A160" s="84" t="s">
        <v>180</v>
      </c>
      <c r="B160" s="84"/>
      <c r="C160" s="84"/>
      <c r="D160" s="84"/>
      <c r="E160" s="84"/>
      <c r="F160" s="84"/>
      <c r="G160" s="84"/>
      <c r="H160" s="84"/>
      <c r="I160" s="84"/>
      <c r="J160" s="84"/>
      <c r="K160" s="84"/>
      <c r="L160" s="84"/>
      <c r="M160" s="84"/>
      <c r="N160" s="84"/>
      <c r="O160" s="84"/>
      <c r="P160" s="49"/>
      <c r="Q160" s="37"/>
    </row>
    <row r="161" spans="1:17" s="38" customFormat="1" ht="32.25" customHeight="1">
      <c r="A161" s="81" t="s">
        <v>188</v>
      </c>
      <c r="B161" s="82"/>
      <c r="C161" s="82"/>
      <c r="D161" s="82"/>
      <c r="E161" s="82"/>
      <c r="F161" s="82"/>
      <c r="G161" s="82"/>
      <c r="H161" s="59"/>
      <c r="I161" s="59"/>
      <c r="J161" s="59"/>
      <c r="K161" s="59"/>
      <c r="L161" s="59"/>
      <c r="M161" s="59"/>
      <c r="N161" s="59"/>
      <c r="O161" s="60"/>
      <c r="P161" s="49"/>
      <c r="Q161" s="37"/>
    </row>
    <row r="162" spans="1:17" s="38" customFormat="1" ht="19.5" customHeight="1">
      <c r="A162" s="83" t="s">
        <v>209</v>
      </c>
      <c r="B162" s="83"/>
      <c r="C162" s="83"/>
      <c r="D162" s="83"/>
      <c r="E162" s="83"/>
      <c r="F162" s="83"/>
      <c r="G162" s="83"/>
      <c r="H162" s="83"/>
      <c r="I162" s="61"/>
      <c r="J162" s="61"/>
      <c r="K162" s="61"/>
      <c r="L162" s="61"/>
      <c r="M162" s="61"/>
      <c r="N162" s="61"/>
      <c r="O162" s="61"/>
      <c r="P162" s="49"/>
      <c r="Q162" s="37"/>
    </row>
    <row r="163" spans="1:17" s="38" customFormat="1" ht="22.5" customHeight="1">
      <c r="A163" s="75" t="s">
        <v>211</v>
      </c>
      <c r="B163" s="75"/>
      <c r="C163" s="75"/>
      <c r="D163" s="62">
        <v>11.25</v>
      </c>
      <c r="E163" s="63" t="s">
        <v>208</v>
      </c>
      <c r="F163" s="64"/>
      <c r="G163" s="63"/>
      <c r="H163" s="63"/>
      <c r="I163" s="63"/>
      <c r="J163" s="63"/>
      <c r="K163" s="63"/>
      <c r="L163" s="63"/>
      <c r="M163" s="63"/>
      <c r="N163" s="65"/>
      <c r="O163" s="65"/>
      <c r="P163" s="49">
        <f>D163/100</f>
        <v>0.1125</v>
      </c>
      <c r="Q163" s="37"/>
    </row>
    <row r="164" spans="1:17" s="38" customFormat="1" ht="27" customHeight="1">
      <c r="A164" s="76" t="s">
        <v>228</v>
      </c>
      <c r="B164" s="76"/>
      <c r="C164" s="76"/>
      <c r="D164" s="76"/>
      <c r="E164" s="66"/>
      <c r="F164" s="66"/>
      <c r="G164" s="66"/>
      <c r="H164" s="66"/>
      <c r="I164" s="66"/>
      <c r="J164" s="66"/>
      <c r="K164" s="66"/>
      <c r="L164" s="66"/>
      <c r="M164" s="66"/>
      <c r="N164" s="66"/>
      <c r="O164" s="66"/>
      <c r="P164" s="49"/>
      <c r="Q164" s="37"/>
    </row>
    <row r="165" spans="1:17" s="38" customFormat="1" ht="23.25" customHeight="1">
      <c r="A165" s="77" t="s">
        <v>210</v>
      </c>
      <c r="B165" s="77"/>
      <c r="C165" s="77"/>
      <c r="D165" s="77"/>
      <c r="E165" s="66"/>
      <c r="F165" s="66"/>
      <c r="G165" s="66"/>
      <c r="H165" s="66"/>
      <c r="I165" s="67"/>
      <c r="J165" s="67"/>
      <c r="K165" s="67"/>
      <c r="L165" s="67"/>
      <c r="M165" s="67"/>
      <c r="N165" s="67"/>
      <c r="O165" s="67"/>
      <c r="P165" s="49"/>
      <c r="Q165" s="37"/>
    </row>
    <row r="166" spans="1:15" ht="14.25">
      <c r="A166" s="68"/>
      <c r="B166" s="69"/>
      <c r="C166" s="70"/>
      <c r="D166" s="70"/>
      <c r="E166" s="70"/>
      <c r="F166" s="70"/>
      <c r="G166" s="70"/>
      <c r="H166" s="70"/>
      <c r="I166" s="70"/>
      <c r="J166" s="70"/>
      <c r="K166" s="70"/>
      <c r="L166" s="70"/>
      <c r="M166" s="70"/>
      <c r="N166" s="70"/>
      <c r="O166" s="70"/>
    </row>
    <row r="167" spans="4:9" ht="14.25">
      <c r="D167" s="70"/>
      <c r="E167" s="70"/>
      <c r="G167" s="70"/>
      <c r="H167" s="70"/>
      <c r="I167" s="70"/>
    </row>
    <row r="168" spans="4:9" ht="14.25">
      <c r="D168" s="70"/>
      <c r="E168" s="70"/>
      <c r="F168" s="70"/>
      <c r="G168" s="65"/>
      <c r="H168" s="70"/>
      <c r="I168" s="70"/>
    </row>
    <row r="169" ht="14.25">
      <c r="I169" s="70"/>
    </row>
  </sheetData>
  <sheetProtection/>
  <mergeCells count="13">
    <mergeCell ref="A154:B154"/>
    <mergeCell ref="K1:O1"/>
    <mergeCell ref="A157:O158"/>
    <mergeCell ref="A163:C163"/>
    <mergeCell ref="A164:D164"/>
    <mergeCell ref="A165:D165"/>
    <mergeCell ref="C1:G1"/>
    <mergeCell ref="A161:G161"/>
    <mergeCell ref="A162:H162"/>
    <mergeCell ref="A159:O159"/>
    <mergeCell ref="A160:O160"/>
    <mergeCell ref="A1:A2"/>
    <mergeCell ref="B1:B2"/>
  </mergeCells>
  <printOptions gridLines="1" horizontalCentered="1"/>
  <pageMargins left="0.39" right="0.35" top="0.45" bottom="1.34" header="0.46" footer="1.02"/>
  <pageSetup firstPageNumber="7" useFirstPageNumber="1" horizontalDpi="600" verticalDpi="600" orientation="landscape" paperSize="9" scale="90" r:id="rId1"/>
  <headerFooter alignWithMargins="0">
    <oddHeader>&amp;L&amp;"Arial,Bold"&amp;12Name of State:SIKKIM
&amp;C&amp;"Arial,Bold"&amp;12Revenue Receipts&amp;R&amp;"Arial,Bold"Statement - 2 
(Rs. in Crore)</oddHeader>
    <oddFooter>&amp;C&amp;P</oddFooter>
  </headerFooter>
  <rowBreaks count="9" manualBreakCount="9">
    <brk id="19" max="14" man="1"/>
    <brk id="37" max="14" man="1"/>
    <brk id="54" max="14" man="1"/>
    <brk id="72" max="14" man="1"/>
    <brk id="90" max="14" man="1"/>
    <brk id="110" max="14" man="1"/>
    <brk id="132" max="14" man="1"/>
    <brk id="148" max="14" man="1"/>
    <brk id="165" max="14" man="1"/>
  </rowBreaks>
</worksheet>
</file>

<file path=xl/worksheets/sheet2.xml><?xml version="1.0" encoding="utf-8"?>
<worksheet xmlns="http://schemas.openxmlformats.org/spreadsheetml/2006/main" xmlns:r="http://schemas.openxmlformats.org/officeDocument/2006/relationships">
  <dimension ref="A2:J106"/>
  <sheetViews>
    <sheetView workbookViewId="0" topLeftCell="A1">
      <selection activeCell="E25" sqref="E25"/>
    </sheetView>
  </sheetViews>
  <sheetFormatPr defaultColWidth="9.140625" defaultRowHeight="12.75"/>
  <cols>
    <col min="1" max="1" width="9.140625" style="1" customWidth="1"/>
    <col min="2" max="2" width="45.8515625" style="1" customWidth="1"/>
    <col min="3" max="10" width="10.28125" style="1" customWidth="1"/>
    <col min="11" max="16384" width="9.140625" style="1" customWidth="1"/>
  </cols>
  <sheetData>
    <row r="2" spans="1:10" ht="31.5">
      <c r="A2" s="2" t="s">
        <v>0</v>
      </c>
      <c r="B2" s="3" t="s">
        <v>1</v>
      </c>
      <c r="C2" s="4"/>
      <c r="D2" s="88" t="s">
        <v>2</v>
      </c>
      <c r="E2" s="88"/>
      <c r="F2" s="88"/>
      <c r="G2" s="88"/>
      <c r="H2" s="4" t="s">
        <v>3</v>
      </c>
      <c r="I2" s="4" t="s">
        <v>4</v>
      </c>
      <c r="J2" s="5" t="s">
        <v>5</v>
      </c>
    </row>
    <row r="3" spans="1:10" ht="15">
      <c r="A3" s="6"/>
      <c r="B3" s="6"/>
      <c r="C3" s="7" t="s">
        <v>7</v>
      </c>
      <c r="D3" s="7" t="s">
        <v>8</v>
      </c>
      <c r="E3" s="7" t="s">
        <v>9</v>
      </c>
      <c r="F3" s="7" t="s">
        <v>10</v>
      </c>
      <c r="G3" s="7" t="s">
        <v>11</v>
      </c>
      <c r="H3" s="7" t="s">
        <v>12</v>
      </c>
      <c r="I3" s="7" t="s">
        <v>13</v>
      </c>
      <c r="J3" s="7" t="s">
        <v>14</v>
      </c>
    </row>
    <row r="4" spans="1:10" ht="15.75">
      <c r="A4" s="3">
        <v>1</v>
      </c>
      <c r="B4" s="3">
        <v>2</v>
      </c>
      <c r="C4" s="3">
        <v>3</v>
      </c>
      <c r="D4" s="3">
        <v>4</v>
      </c>
      <c r="E4" s="3">
        <v>5</v>
      </c>
      <c r="F4" s="3">
        <v>6</v>
      </c>
      <c r="G4" s="3">
        <v>7</v>
      </c>
      <c r="H4" s="3">
        <v>8</v>
      </c>
      <c r="I4" s="3">
        <v>9</v>
      </c>
      <c r="J4" s="3">
        <v>10</v>
      </c>
    </row>
    <row r="5" spans="1:10" ht="15.75">
      <c r="A5" s="8"/>
      <c r="B5" s="9" t="s">
        <v>53</v>
      </c>
      <c r="C5" s="14"/>
      <c r="D5" s="14"/>
      <c r="E5" s="14"/>
      <c r="F5" s="14"/>
      <c r="G5" s="14"/>
      <c r="H5" s="14"/>
      <c r="I5" s="14"/>
      <c r="J5" s="14"/>
    </row>
    <row r="6" spans="1:10" s="12" customFormat="1" ht="15">
      <c r="A6" s="10">
        <v>20</v>
      </c>
      <c r="B6" s="11" t="s">
        <v>191</v>
      </c>
      <c r="C6" s="15">
        <v>109.53</v>
      </c>
      <c r="D6" s="15">
        <v>119.3</v>
      </c>
      <c r="E6" s="15">
        <v>154.2</v>
      </c>
      <c r="F6" s="15">
        <v>205.18</v>
      </c>
      <c r="G6" s="15">
        <v>240.72</v>
      </c>
      <c r="H6" s="15">
        <v>254.67</v>
      </c>
      <c r="I6" s="15">
        <v>287.79</v>
      </c>
      <c r="J6" s="89" t="s">
        <v>227</v>
      </c>
    </row>
    <row r="7" spans="1:10" s="12" customFormat="1" ht="15">
      <c r="A7" s="10">
        <v>21</v>
      </c>
      <c r="B7" s="11" t="s">
        <v>192</v>
      </c>
      <c r="C7" s="15">
        <v>121.77</v>
      </c>
      <c r="D7" s="15">
        <v>89.61</v>
      </c>
      <c r="E7" s="15">
        <v>86.6</v>
      </c>
      <c r="F7" s="15">
        <v>109.08</v>
      </c>
      <c r="G7" s="15">
        <v>122.26</v>
      </c>
      <c r="H7" s="15">
        <v>150.82</v>
      </c>
      <c r="I7" s="15">
        <v>178.15</v>
      </c>
      <c r="J7" s="89"/>
    </row>
    <row r="8" spans="1:10" s="12" customFormat="1" ht="15">
      <c r="A8" s="10">
        <v>23</v>
      </c>
      <c r="B8" s="11" t="s">
        <v>198</v>
      </c>
      <c r="C8" s="15">
        <v>0</v>
      </c>
      <c r="D8" s="15">
        <v>0</v>
      </c>
      <c r="E8" s="15">
        <v>0</v>
      </c>
      <c r="F8" s="15">
        <v>0</v>
      </c>
      <c r="G8" s="15">
        <v>0</v>
      </c>
      <c r="H8" s="15">
        <v>0</v>
      </c>
      <c r="I8" s="15">
        <v>0</v>
      </c>
      <c r="J8" s="89"/>
    </row>
    <row r="9" spans="1:10" s="12" customFormat="1" ht="15">
      <c r="A9" s="10">
        <v>28</v>
      </c>
      <c r="B9" s="11" t="s">
        <v>24</v>
      </c>
      <c r="C9" s="15">
        <v>0</v>
      </c>
      <c r="D9" s="15">
        <v>0</v>
      </c>
      <c r="E9" s="15">
        <v>0</v>
      </c>
      <c r="F9" s="15">
        <v>0</v>
      </c>
      <c r="G9" s="15">
        <v>0</v>
      </c>
      <c r="H9" s="15">
        <v>0</v>
      </c>
      <c r="I9" s="15">
        <v>0</v>
      </c>
      <c r="J9" s="89"/>
    </row>
    <row r="10" spans="1:10" s="12" customFormat="1" ht="15">
      <c r="A10" s="10">
        <v>29</v>
      </c>
      <c r="B10" s="11" t="s">
        <v>199</v>
      </c>
      <c r="C10" s="15">
        <v>0</v>
      </c>
      <c r="D10" s="15">
        <v>0</v>
      </c>
      <c r="E10" s="15">
        <v>0</v>
      </c>
      <c r="F10" s="15">
        <v>0</v>
      </c>
      <c r="G10" s="15">
        <v>0</v>
      </c>
      <c r="H10" s="15">
        <v>0</v>
      </c>
      <c r="I10" s="15">
        <v>0</v>
      </c>
      <c r="J10" s="89"/>
    </row>
    <row r="11" spans="1:10" s="12" customFormat="1" ht="15">
      <c r="A11" s="10">
        <v>31</v>
      </c>
      <c r="B11" s="11" t="s">
        <v>200</v>
      </c>
      <c r="C11" s="15">
        <v>0</v>
      </c>
      <c r="D11" s="15">
        <v>0</v>
      </c>
      <c r="E11" s="15">
        <v>0</v>
      </c>
      <c r="F11" s="15">
        <v>0</v>
      </c>
      <c r="G11" s="15">
        <v>0</v>
      </c>
      <c r="H11" s="15">
        <v>0</v>
      </c>
      <c r="I11" s="15">
        <v>0</v>
      </c>
      <c r="J11" s="89"/>
    </row>
    <row r="12" spans="1:10" s="12" customFormat="1" ht="15">
      <c r="A12" s="10">
        <v>32</v>
      </c>
      <c r="B12" s="11" t="s">
        <v>193</v>
      </c>
      <c r="C12" s="15">
        <v>0.12</v>
      </c>
      <c r="D12" s="15">
        <v>0.11</v>
      </c>
      <c r="E12" s="15">
        <v>0.35</v>
      </c>
      <c r="F12" s="15">
        <v>0.42</v>
      </c>
      <c r="G12" s="15">
        <v>0.93</v>
      </c>
      <c r="H12" s="15">
        <v>0.66</v>
      </c>
      <c r="I12" s="15">
        <v>0.72</v>
      </c>
      <c r="J12" s="89"/>
    </row>
    <row r="13" spans="1:10" s="12" customFormat="1" ht="15">
      <c r="A13" s="10">
        <v>37</v>
      </c>
      <c r="B13" s="11" t="s">
        <v>194</v>
      </c>
      <c r="C13" s="15">
        <v>65.23</v>
      </c>
      <c r="D13" s="15">
        <v>69.63</v>
      </c>
      <c r="E13" s="15">
        <v>52.44</v>
      </c>
      <c r="F13" s="15">
        <v>91.79</v>
      </c>
      <c r="G13" s="15">
        <v>106.05</v>
      </c>
      <c r="H13" s="15">
        <v>118.07</v>
      </c>
      <c r="I13" s="15">
        <v>134.35</v>
      </c>
      <c r="J13" s="89"/>
    </row>
    <row r="14" spans="1:10" s="12" customFormat="1" ht="15">
      <c r="A14" s="10">
        <v>38</v>
      </c>
      <c r="B14" s="11" t="s">
        <v>201</v>
      </c>
      <c r="C14" s="15">
        <v>62.27</v>
      </c>
      <c r="D14" s="15">
        <v>60.74</v>
      </c>
      <c r="E14" s="15">
        <v>42.24</v>
      </c>
      <c r="F14" s="15">
        <v>66.78</v>
      </c>
      <c r="G14" s="15">
        <v>68.61</v>
      </c>
      <c r="H14" s="15">
        <v>80.05</v>
      </c>
      <c r="I14" s="15">
        <v>94.59</v>
      </c>
      <c r="J14" s="89"/>
    </row>
    <row r="15" spans="1:10" s="12" customFormat="1" ht="15">
      <c r="A15" s="10">
        <v>44</v>
      </c>
      <c r="B15" s="11" t="s">
        <v>195</v>
      </c>
      <c r="C15" s="15">
        <v>34.46</v>
      </c>
      <c r="D15" s="15">
        <v>39.4</v>
      </c>
      <c r="E15" s="15">
        <v>39.56</v>
      </c>
      <c r="F15" s="15">
        <v>52.39</v>
      </c>
      <c r="G15" s="15">
        <v>73.06</v>
      </c>
      <c r="H15" s="15">
        <v>94.21</v>
      </c>
      <c r="I15" s="15">
        <v>135.96</v>
      </c>
      <c r="J15" s="89"/>
    </row>
    <row r="16" spans="1:10" s="12" customFormat="1" ht="15">
      <c r="A16" s="10">
        <v>45</v>
      </c>
      <c r="B16" s="11" t="s">
        <v>202</v>
      </c>
      <c r="C16" s="12">
        <v>0</v>
      </c>
      <c r="D16" s="12">
        <v>0</v>
      </c>
      <c r="E16" s="12">
        <v>0</v>
      </c>
      <c r="F16" s="12">
        <v>0</v>
      </c>
      <c r="G16" s="15"/>
      <c r="H16" s="15"/>
      <c r="I16" s="15"/>
      <c r="J16" s="89"/>
    </row>
    <row r="17" spans="2:10" s="12" customFormat="1" ht="15">
      <c r="B17" s="12" t="s">
        <v>196</v>
      </c>
      <c r="C17" s="15"/>
      <c r="D17" s="15"/>
      <c r="E17" s="15"/>
      <c r="F17" s="15"/>
      <c r="G17" s="15"/>
      <c r="H17" s="15"/>
      <c r="I17" s="15"/>
      <c r="J17" s="89"/>
    </row>
    <row r="18" spans="2:10" s="12" customFormat="1" ht="15.75">
      <c r="B18" s="13" t="s">
        <v>197</v>
      </c>
      <c r="C18" s="16">
        <f>SUM(C6:C17)</f>
        <v>393.38</v>
      </c>
      <c r="D18" s="16">
        <f aca="true" t="shared" si="0" ref="D18:J18">SUM(D6:D17)</f>
        <v>378.78999999999996</v>
      </c>
      <c r="E18" s="16">
        <f t="shared" si="0"/>
        <v>375.39</v>
      </c>
      <c r="F18" s="16">
        <f t="shared" si="0"/>
        <v>525.64</v>
      </c>
      <c r="G18" s="16">
        <f t="shared" si="0"/>
        <v>611.6300000000001</v>
      </c>
      <c r="H18" s="16">
        <f t="shared" si="0"/>
        <v>698.48</v>
      </c>
      <c r="I18" s="16">
        <f t="shared" si="0"/>
        <v>831.5600000000002</v>
      </c>
      <c r="J18" s="16">
        <f t="shared" si="0"/>
        <v>0</v>
      </c>
    </row>
    <row r="19" spans="3:10" ht="15">
      <c r="C19" s="14"/>
      <c r="D19" s="14"/>
      <c r="E19" s="14"/>
      <c r="F19" s="14"/>
      <c r="G19" s="14"/>
      <c r="H19" s="14"/>
      <c r="I19" s="14"/>
      <c r="J19" s="14"/>
    </row>
    <row r="20" spans="3:10" s="17" customFormat="1" ht="15">
      <c r="C20" s="18">
        <f>'St.2'!C5</f>
        <v>542.97</v>
      </c>
      <c r="D20" s="18">
        <f>'St.2'!D5</f>
        <v>563.38</v>
      </c>
      <c r="E20" s="18">
        <f>'St.2'!E5</f>
        <v>598.3299999999999</v>
      </c>
      <c r="F20" s="18">
        <f>'St.2'!F5</f>
        <v>804.52</v>
      </c>
      <c r="G20" s="18">
        <f>'St.2'!G5</f>
        <v>905.5700000000002</v>
      </c>
      <c r="H20" s="18">
        <f>'St.2'!H5</f>
        <v>1068.76</v>
      </c>
      <c r="I20" s="18">
        <f>'St.2'!I5</f>
        <v>1257.2300000000002</v>
      </c>
      <c r="J20" s="18">
        <f>'St.2'!J5</f>
        <v>475.811835814326</v>
      </c>
    </row>
    <row r="21" spans="2:10" s="19" customFormat="1" ht="15.75">
      <c r="B21" s="19" t="s">
        <v>206</v>
      </c>
      <c r="C21" s="20">
        <f>C18+C20</f>
        <v>936.35</v>
      </c>
      <c r="D21" s="20">
        <f aca="true" t="shared" si="1" ref="D21:J21">D18+D20</f>
        <v>942.17</v>
      </c>
      <c r="E21" s="20">
        <f t="shared" si="1"/>
        <v>973.7199999999999</v>
      </c>
      <c r="F21" s="20">
        <f t="shared" si="1"/>
        <v>1330.1599999999999</v>
      </c>
      <c r="G21" s="20">
        <f t="shared" si="1"/>
        <v>1517.2000000000003</v>
      </c>
      <c r="H21" s="20">
        <f t="shared" si="1"/>
        <v>1767.24</v>
      </c>
      <c r="I21" s="20">
        <f t="shared" si="1"/>
        <v>2088.7900000000004</v>
      </c>
      <c r="J21" s="20">
        <f t="shared" si="1"/>
        <v>475.811835814326</v>
      </c>
    </row>
    <row r="22" spans="2:10" s="19" customFormat="1" ht="15">
      <c r="B22" s="19" t="s">
        <v>204</v>
      </c>
      <c r="C22" s="21">
        <f>'St.2'!C154</f>
        <v>2699.42</v>
      </c>
      <c r="D22" s="21">
        <f>'St.2'!D154</f>
        <v>2671.2400000000002</v>
      </c>
      <c r="E22" s="21">
        <f>'St.2'!E154</f>
        <v>3254.3899999999994</v>
      </c>
      <c r="F22" s="21">
        <f>'St.2'!F154</f>
        <v>3047.3</v>
      </c>
      <c r="G22" s="21">
        <f>'St.2'!G154</f>
        <v>3672.63</v>
      </c>
      <c r="H22" s="21">
        <f>'St.2'!H154</f>
        <v>4795.030000000001</v>
      </c>
      <c r="I22" s="21">
        <f>'St.2'!I154</f>
        <v>4676.27</v>
      </c>
      <c r="J22" s="21">
        <f>'St.2'!J154</f>
        <v>1506.9697359781176</v>
      </c>
    </row>
    <row r="23" spans="3:10" s="19" customFormat="1" ht="15.75">
      <c r="C23" s="20"/>
      <c r="D23" s="20"/>
      <c r="E23" s="20"/>
      <c r="F23" s="20"/>
      <c r="G23" s="20"/>
      <c r="H23" s="20"/>
      <c r="I23" s="20"/>
      <c r="J23" s="20"/>
    </row>
    <row r="24" s="17" customFormat="1" ht="15"/>
    <row r="25" spans="6:9" ht="15">
      <c r="F25" s="1">
        <v>3047.31</v>
      </c>
      <c r="G25" s="1">
        <v>3672.63</v>
      </c>
      <c r="H25" s="1">
        <v>4795.04</v>
      </c>
      <c r="I25" s="1">
        <v>4675.97</v>
      </c>
    </row>
    <row r="27" spans="3:9" ht="15">
      <c r="C27" s="14">
        <f aca="true" t="shared" si="2" ref="C27:H27">C25-C22</f>
        <v>-2699.42</v>
      </c>
      <c r="D27" s="14">
        <f t="shared" si="2"/>
        <v>-2671.2400000000002</v>
      </c>
      <c r="E27" s="14">
        <f t="shared" si="2"/>
        <v>-3254.3899999999994</v>
      </c>
      <c r="F27" s="14">
        <f t="shared" si="2"/>
        <v>0.009999999999763531</v>
      </c>
      <c r="G27" s="14">
        <f t="shared" si="2"/>
        <v>0</v>
      </c>
      <c r="H27" s="14">
        <f t="shared" si="2"/>
        <v>0.009999999999308784</v>
      </c>
      <c r="I27" s="14">
        <f>I25-I22</f>
        <v>-0.3000000000001819</v>
      </c>
    </row>
    <row r="106" ht="15">
      <c r="H106" s="1">
        <v>3</v>
      </c>
    </row>
  </sheetData>
  <sheetProtection/>
  <mergeCells count="2">
    <mergeCell ref="D2:G2"/>
    <mergeCell ref="J6:J17"/>
  </mergeCells>
  <printOptions gridLines="1"/>
  <pageMargins left="0.5118110236220472" right="0.5118110236220472" top="0.7480314960629921" bottom="0.7480314960629921" header="0.31496062992125984" footer="0.31496062992125984"/>
  <pageSetup firstPageNumber="11" useFirstPageNumber="1" horizontalDpi="600" verticalDpi="600" orientation="landscape" paperSize="9" r:id="rId1"/>
  <headerFooter>
    <oddHeader>&amp;C&amp;"Arial,Bold"&amp;14Statement of Shared Tax Proceeds from Centre&amp;RSTATMENT 2A
(Rs .in  Crore)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Sixth Central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Manish Dev Vishwakarma</dc:creator>
  <cp:keywords/>
  <dc:description/>
  <cp:lastModifiedBy>fcdserver</cp:lastModifiedBy>
  <cp:lastPrinted>2013-12-02T05:03:48Z</cp:lastPrinted>
  <dcterms:created xsi:type="dcterms:W3CDTF">2008-02-29T08:54:46Z</dcterms:created>
  <dcterms:modified xsi:type="dcterms:W3CDTF">2013-12-02T05:03:52Z</dcterms:modified>
  <cp:category/>
  <cp:version/>
  <cp:contentType/>
  <cp:contentStatus/>
</cp:coreProperties>
</file>